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60E402C-5A0B-4601-B199-059FA876DFE6}" xr6:coauthVersionLast="47" xr6:coauthVersionMax="47" xr10:uidLastSave="{00000000-0000-0000-0000-000000000000}"/>
  <bookViews>
    <workbookView xWindow="-120" yWindow="-120" windowWidth="29040" windowHeight="15840" activeTab="1" xr2:uid="{739156F0-8EEA-4682-9E1A-597D97634032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10" i="1" s="1"/>
  <c r="AZ36" i="2"/>
  <c r="U107" i="2"/>
  <c r="M8" i="1"/>
  <c r="U96" i="2"/>
  <c r="U93" i="2"/>
  <c r="U92" i="2"/>
  <c r="U91" i="2"/>
  <c r="U90" i="2"/>
  <c r="U89" i="2"/>
  <c r="U88" i="2"/>
  <c r="T94" i="2"/>
  <c r="S85" i="2"/>
  <c r="T85" i="2" s="1"/>
  <c r="U85" i="2" s="1"/>
  <c r="S84" i="2"/>
  <c r="T84" i="2" s="1"/>
  <c r="U84" i="2" s="1"/>
  <c r="S82" i="2"/>
  <c r="U78" i="2"/>
  <c r="U77" i="2"/>
  <c r="U75" i="2"/>
  <c r="U74" i="2"/>
  <c r="U73" i="2"/>
  <c r="U72" i="2"/>
  <c r="U71" i="2"/>
  <c r="U70" i="2"/>
  <c r="U69" i="2"/>
  <c r="U68" i="2"/>
  <c r="U67" i="2"/>
  <c r="U66" i="2"/>
  <c r="U51" i="2"/>
  <c r="U56" i="2" s="1"/>
  <c r="U58" i="2" s="1"/>
  <c r="U41" i="2"/>
  <c r="U40" i="2" s="1"/>
  <c r="AM40" i="2" s="1"/>
  <c r="AM29" i="2"/>
  <c r="U26" i="2"/>
  <c r="U24" i="2"/>
  <c r="U21" i="2"/>
  <c r="U20" i="2"/>
  <c r="U19" i="2"/>
  <c r="U17" i="2"/>
  <c r="U15" i="2"/>
  <c r="U13" i="2"/>
  <c r="U12" i="2"/>
  <c r="AM16" i="2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N20" i="2"/>
  <c r="AO20" i="2" s="1"/>
  <c r="AP20" i="2" s="1"/>
  <c r="AQ20" i="2" s="1"/>
  <c r="AR20" i="2" s="1"/>
  <c r="AS20" i="2" s="1"/>
  <c r="AT20" i="2" s="1"/>
  <c r="AU20" i="2" s="1"/>
  <c r="AV20" i="2" s="1"/>
  <c r="AW20" i="2" s="1"/>
  <c r="AN21" i="2"/>
  <c r="AO21" i="2" s="1"/>
  <c r="AP21" i="2" s="1"/>
  <c r="AQ21" i="2" s="1"/>
  <c r="AR21" i="2" s="1"/>
  <c r="AS21" i="2" s="1"/>
  <c r="AT21" i="2" s="1"/>
  <c r="AU21" i="2" s="1"/>
  <c r="AV21" i="2" s="1"/>
  <c r="AW21" i="2" s="1"/>
  <c r="AA21" i="2"/>
  <c r="AN19" i="2"/>
  <c r="AO19" i="2" s="1"/>
  <c r="AP19" i="2" s="1"/>
  <c r="AQ19" i="2" s="1"/>
  <c r="AR19" i="2" s="1"/>
  <c r="AS19" i="2" s="1"/>
  <c r="AT19" i="2" s="1"/>
  <c r="AU19" i="2" s="1"/>
  <c r="AV19" i="2" s="1"/>
  <c r="AW19" i="2" s="1"/>
  <c r="U14" i="2" l="1"/>
  <c r="M7" i="1"/>
  <c r="U94" i="2"/>
  <c r="U49" i="2"/>
  <c r="U79" i="2"/>
  <c r="U80" i="2" s="1"/>
  <c r="U16" i="2"/>
  <c r="U18" i="2" s="1"/>
  <c r="U31" i="2" s="1"/>
  <c r="U22" i="2"/>
  <c r="T82" i="2"/>
  <c r="AH35" i="2"/>
  <c r="AG35" i="2"/>
  <c r="AF35" i="2"/>
  <c r="AE35" i="2"/>
  <c r="AD35" i="2"/>
  <c r="AC35" i="2"/>
  <c r="AA17" i="2"/>
  <c r="AA20" i="2"/>
  <c r="AA19" i="2"/>
  <c r="AL22" i="2"/>
  <c r="AK22" i="2"/>
  <c r="AJ22" i="2"/>
  <c r="AA29" i="2"/>
  <c r="U23" i="2" l="1"/>
  <c r="U25" i="2" s="1"/>
  <c r="U34" i="2" s="1"/>
  <c r="U62" i="2" s="1"/>
  <c r="U63" i="2" s="1"/>
  <c r="U82" i="2"/>
  <c r="U99" i="2" s="1"/>
  <c r="U101" i="2" s="1"/>
  <c r="AN29" i="2"/>
  <c r="AO29" i="2" s="1"/>
  <c r="AP29" i="2" s="1"/>
  <c r="AQ29" i="2" s="1"/>
  <c r="AR29" i="2" s="1"/>
  <c r="AS29" i="2" s="1"/>
  <c r="AT29" i="2" s="1"/>
  <c r="AU29" i="2" s="1"/>
  <c r="AV29" i="2" s="1"/>
  <c r="AW29" i="2" s="1"/>
  <c r="U32" i="2" l="1"/>
  <c r="U27" i="2"/>
  <c r="U4" i="2"/>
  <c r="U5" i="2" s="1"/>
  <c r="U28" i="2" l="1"/>
  <c r="U65" i="2"/>
  <c r="U33" i="2"/>
  <c r="U6" i="2"/>
  <c r="AM4" i="2"/>
  <c r="AI15" i="2" l="1"/>
  <c r="AI13" i="2"/>
  <c r="AK13" i="2"/>
  <c r="AK15" i="2"/>
  <c r="AK12" i="2"/>
  <c r="AI4" i="2"/>
  <c r="AJ4" i="2"/>
  <c r="AK4" i="2"/>
  <c r="AL4" i="2"/>
  <c r="AL15" i="2"/>
  <c r="AL13" i="2"/>
  <c r="AL12" i="2"/>
  <c r="I13" i="2"/>
  <c r="AJ13" i="2" s="1"/>
  <c r="I12" i="2"/>
  <c r="AJ12" i="2" s="1"/>
  <c r="E12" i="2"/>
  <c r="AI12" i="2" s="1"/>
  <c r="I15" i="2"/>
  <c r="F5" i="2"/>
  <c r="M5" i="2"/>
  <c r="L5" i="2"/>
  <c r="K5" i="2"/>
  <c r="J5" i="2"/>
  <c r="I5" i="2"/>
  <c r="H5" i="2"/>
  <c r="G5" i="2"/>
  <c r="J14" i="2"/>
  <c r="H14" i="2"/>
  <c r="G14" i="2"/>
  <c r="F14" i="2"/>
  <c r="D14" i="2"/>
  <c r="D6" i="2" s="1"/>
  <c r="C14" i="2"/>
  <c r="C6" i="2" s="1"/>
  <c r="B14" i="2"/>
  <c r="G6" i="2" l="1"/>
  <c r="G7" i="2" s="1"/>
  <c r="G16" i="2"/>
  <c r="AJ15" i="2"/>
  <c r="F6" i="2"/>
  <c r="F16" i="2"/>
  <c r="F18" i="2" s="1"/>
  <c r="F31" i="2" s="1"/>
  <c r="J6" i="2"/>
  <c r="J16" i="2"/>
  <c r="H6" i="2"/>
  <c r="H7" i="2" s="1"/>
  <c r="H16" i="2"/>
  <c r="H18" i="2" s="1"/>
  <c r="AL14" i="2"/>
  <c r="AL16" i="2" s="1"/>
  <c r="AJ5" i="2"/>
  <c r="AL5" i="2"/>
  <c r="AK14" i="2"/>
  <c r="AJ14" i="2"/>
  <c r="AK5" i="2"/>
  <c r="AM6" i="2"/>
  <c r="AM5" i="2"/>
  <c r="AI14" i="2"/>
  <c r="E14" i="2"/>
  <c r="I14" i="2"/>
  <c r="I6" i="2" s="1"/>
  <c r="S5" i="2"/>
  <c r="R5" i="2"/>
  <c r="Q5" i="2"/>
  <c r="P5" i="2"/>
  <c r="O5" i="2"/>
  <c r="N5" i="2"/>
  <c r="T5" i="2"/>
  <c r="S14" i="2"/>
  <c r="T14" i="2"/>
  <c r="T6" i="2" s="1"/>
  <c r="AN16" i="2"/>
  <c r="AO16" i="2" s="1"/>
  <c r="AP16" i="2" s="1"/>
  <c r="AQ16" i="2" s="1"/>
  <c r="AR16" i="2" s="1"/>
  <c r="AS16" i="2" s="1"/>
  <c r="AT16" i="2" s="1"/>
  <c r="AU16" i="2" s="1"/>
  <c r="AV16" i="2" s="1"/>
  <c r="AW16" i="2" s="1"/>
  <c r="R14" i="2"/>
  <c r="Q14" i="2"/>
  <c r="P14" i="2"/>
  <c r="O14" i="2"/>
  <c r="N14" i="2"/>
  <c r="M14" i="2"/>
  <c r="L14" i="2"/>
  <c r="K14" i="2"/>
  <c r="AC22" i="2"/>
  <c r="AC18" i="2"/>
  <c r="AC31" i="2" s="1"/>
  <c r="AD37" i="2"/>
  <c r="AD22" i="2"/>
  <c r="AD18" i="2"/>
  <c r="AE37" i="2"/>
  <c r="AE22" i="2"/>
  <c r="AE18" i="2"/>
  <c r="AF37" i="2"/>
  <c r="AF22" i="2"/>
  <c r="AF18" i="2"/>
  <c r="AG37" i="2"/>
  <c r="AG22" i="2"/>
  <c r="AG18" i="2"/>
  <c r="E29" i="2"/>
  <c r="E26" i="2"/>
  <c r="E24" i="2"/>
  <c r="E21" i="2"/>
  <c r="E20" i="2"/>
  <c r="E19" i="2"/>
  <c r="E17" i="2"/>
  <c r="I29" i="2"/>
  <c r="I26" i="2"/>
  <c r="I24" i="2"/>
  <c r="I21" i="2"/>
  <c r="I20" i="2"/>
  <c r="I19" i="2"/>
  <c r="I17" i="2"/>
  <c r="AH37" i="2"/>
  <c r="AH22" i="2"/>
  <c r="AH18" i="2"/>
  <c r="AI22" i="2"/>
  <c r="AD3" i="2"/>
  <c r="AE3" i="2" s="1"/>
  <c r="AF3" i="2" s="1"/>
  <c r="AG3" i="2" s="1"/>
  <c r="AH3" i="2" s="1"/>
  <c r="D22" i="2"/>
  <c r="D18" i="2"/>
  <c r="H22" i="2"/>
  <c r="C22" i="2"/>
  <c r="C18" i="2"/>
  <c r="G22" i="2"/>
  <c r="G18" i="2"/>
  <c r="G31" i="2" s="1"/>
  <c r="B22" i="2"/>
  <c r="B18" i="2"/>
  <c r="F37" i="2"/>
  <c r="F22" i="2"/>
  <c r="J7" i="2" l="1"/>
  <c r="H37" i="2"/>
  <c r="R6" i="2"/>
  <c r="R16" i="2"/>
  <c r="V37" i="2" s="1"/>
  <c r="T16" i="2"/>
  <c r="T18" i="2" s="1"/>
  <c r="E6" i="2"/>
  <c r="I7" i="2" s="1"/>
  <c r="E16" i="2"/>
  <c r="G37" i="2" s="1"/>
  <c r="S6" i="2"/>
  <c r="S16" i="2"/>
  <c r="AI6" i="2"/>
  <c r="AI16" i="2"/>
  <c r="K6" i="2"/>
  <c r="K7" i="2" s="1"/>
  <c r="K16" i="2"/>
  <c r="L6" i="2"/>
  <c r="L7" i="2" s="1"/>
  <c r="L16" i="2"/>
  <c r="M6" i="2"/>
  <c r="M16" i="2"/>
  <c r="AL6" i="2"/>
  <c r="AJ6" i="2"/>
  <c r="AJ16" i="2"/>
  <c r="P6" i="2"/>
  <c r="P16" i="2"/>
  <c r="P18" i="2" s="1"/>
  <c r="AK6" i="2"/>
  <c r="AK16" i="2"/>
  <c r="AK35" i="2" s="1"/>
  <c r="AA16" i="2"/>
  <c r="AL35" i="2"/>
  <c r="N6" i="2"/>
  <c r="N7" i="2" s="1"/>
  <c r="N16" i="2"/>
  <c r="O6" i="2"/>
  <c r="O16" i="2"/>
  <c r="I16" i="2"/>
  <c r="I37" i="2" s="1"/>
  <c r="Q6" i="2"/>
  <c r="U7" i="2" s="1"/>
  <c r="Q16" i="2"/>
  <c r="U37" i="2" s="1"/>
  <c r="M7" i="2"/>
  <c r="AM35" i="2"/>
  <c r="AM22" i="2"/>
  <c r="AM18" i="2"/>
  <c r="AM37" i="2"/>
  <c r="E22" i="2"/>
  <c r="I22" i="2"/>
  <c r="AC23" i="2"/>
  <c r="AD23" i="2"/>
  <c r="AD32" i="2" s="1"/>
  <c r="AD31" i="2"/>
  <c r="AE23" i="2"/>
  <c r="AE32" i="2" s="1"/>
  <c r="AE31" i="2"/>
  <c r="AF23" i="2"/>
  <c r="AF32" i="2" s="1"/>
  <c r="AF31" i="2"/>
  <c r="AG23" i="2"/>
  <c r="AG32" i="2" s="1"/>
  <c r="AG31" i="2"/>
  <c r="AH23" i="2"/>
  <c r="AH32" i="2" s="1"/>
  <c r="AH31" i="2"/>
  <c r="D23" i="2"/>
  <c r="D25" i="2" s="1"/>
  <c r="D31" i="2"/>
  <c r="H23" i="2"/>
  <c r="H25" i="2" s="1"/>
  <c r="H31" i="2"/>
  <c r="C23" i="2"/>
  <c r="C25" i="2" s="1"/>
  <c r="C31" i="2"/>
  <c r="G23" i="2"/>
  <c r="B23" i="2"/>
  <c r="B25" i="2" s="1"/>
  <c r="B31" i="2"/>
  <c r="F23" i="2"/>
  <c r="F25" i="2" s="1"/>
  <c r="T79" i="2"/>
  <c r="T80" i="2" s="1"/>
  <c r="T99" i="2" s="1"/>
  <c r="T101" i="2" s="1"/>
  <c r="T51" i="2"/>
  <c r="T56" i="2" s="1"/>
  <c r="T58" i="2" s="1"/>
  <c r="T41" i="2"/>
  <c r="T22" i="2"/>
  <c r="S94" i="2"/>
  <c r="S79" i="2"/>
  <c r="S80" i="2" s="1"/>
  <c r="S99" i="2" s="1"/>
  <c r="S101" i="2" s="1"/>
  <c r="S51" i="2"/>
  <c r="S56" i="2" s="1"/>
  <c r="S41" i="2"/>
  <c r="S49" i="2" s="1"/>
  <c r="S22" i="2"/>
  <c r="R94" i="2"/>
  <c r="R83" i="2"/>
  <c r="R79" i="2"/>
  <c r="R80" i="2" s="1"/>
  <c r="R51" i="2"/>
  <c r="R56" i="2" s="1"/>
  <c r="R41" i="2"/>
  <c r="R40" i="2" s="1"/>
  <c r="R37" i="2"/>
  <c r="R22" i="2"/>
  <c r="R18" i="2"/>
  <c r="R31" i="2" s="1"/>
  <c r="M83" i="2"/>
  <c r="M82" i="2"/>
  <c r="M71" i="2"/>
  <c r="M94" i="2"/>
  <c r="M79" i="2"/>
  <c r="Q83" i="2"/>
  <c r="Q82" i="2"/>
  <c r="Q71" i="2"/>
  <c r="Q94" i="2"/>
  <c r="Q79" i="2"/>
  <c r="L51" i="2"/>
  <c r="L47" i="2"/>
  <c r="L41" i="2"/>
  <c r="K51" i="2"/>
  <c r="K47" i="2"/>
  <c r="K41" i="2"/>
  <c r="J51" i="2"/>
  <c r="J47" i="2"/>
  <c r="J41" i="2"/>
  <c r="M41" i="2"/>
  <c r="M51" i="2"/>
  <c r="M56" i="2" s="1"/>
  <c r="M47" i="2"/>
  <c r="Q51" i="2"/>
  <c r="Q56" i="2" s="1"/>
  <c r="Q47" i="2"/>
  <c r="Q41" i="2"/>
  <c r="M18" i="2"/>
  <c r="M31" i="2" s="1"/>
  <c r="M22" i="2"/>
  <c r="Q22" i="2"/>
  <c r="L83" i="2"/>
  <c r="L82" i="2"/>
  <c r="L94" i="2"/>
  <c r="L79" i="2"/>
  <c r="L80" i="2" s="1"/>
  <c r="P94" i="2"/>
  <c r="P83" i="2"/>
  <c r="P82" i="2"/>
  <c r="P79" i="2"/>
  <c r="P80" i="2" s="1"/>
  <c r="P51" i="2"/>
  <c r="P56" i="2" s="1"/>
  <c r="P47" i="2"/>
  <c r="P41" i="2"/>
  <c r="L37" i="2"/>
  <c r="L22" i="2"/>
  <c r="L18" i="2"/>
  <c r="P22" i="2"/>
  <c r="K94" i="2"/>
  <c r="O94" i="2"/>
  <c r="N94" i="2"/>
  <c r="J94" i="2"/>
  <c r="K83" i="2"/>
  <c r="K82" i="2"/>
  <c r="K79" i="2"/>
  <c r="K80" i="2" s="1"/>
  <c r="O83" i="2"/>
  <c r="O82" i="2"/>
  <c r="O79" i="2"/>
  <c r="O66" i="2"/>
  <c r="N83" i="2"/>
  <c r="N82" i="2"/>
  <c r="N79" i="2"/>
  <c r="N80" i="2" s="1"/>
  <c r="J83" i="2"/>
  <c r="J82" i="2"/>
  <c r="E18" i="2" l="1"/>
  <c r="E31" i="2" s="1"/>
  <c r="P7" i="2"/>
  <c r="S7" i="2"/>
  <c r="T37" i="2"/>
  <c r="I18" i="2"/>
  <c r="I31" i="2" s="1"/>
  <c r="R99" i="2"/>
  <c r="AM80" i="2"/>
  <c r="AM99" i="2" s="1"/>
  <c r="Q18" i="2"/>
  <c r="S37" i="2"/>
  <c r="P37" i="2"/>
  <c r="R101" i="2"/>
  <c r="U102" i="2" s="1"/>
  <c r="U100" i="2"/>
  <c r="S18" i="2"/>
  <c r="S31" i="2" s="1"/>
  <c r="Q37" i="2"/>
  <c r="O7" i="2"/>
  <c r="M37" i="2"/>
  <c r="AK37" i="2"/>
  <c r="Q7" i="2"/>
  <c r="T7" i="2"/>
  <c r="R7" i="2"/>
  <c r="AI35" i="2"/>
  <c r="AI37" i="2"/>
  <c r="AI18" i="2"/>
  <c r="AJ35" i="2"/>
  <c r="AJ37" i="2"/>
  <c r="R86" i="2"/>
  <c r="R97" i="2" s="1"/>
  <c r="S83" i="2"/>
  <c r="S86" i="2" s="1"/>
  <c r="AL37" i="2"/>
  <c r="AN35" i="2"/>
  <c r="AN22" i="2"/>
  <c r="AN18" i="2"/>
  <c r="AM23" i="2"/>
  <c r="AM31" i="2"/>
  <c r="AN37" i="2"/>
  <c r="I23" i="2"/>
  <c r="I25" i="2" s="1"/>
  <c r="AC25" i="2"/>
  <c r="AC32" i="2"/>
  <c r="AD25" i="2"/>
  <c r="AD27" i="2" s="1"/>
  <c r="AE25" i="2"/>
  <c r="AE34" i="2" s="1"/>
  <c r="AF25" i="2"/>
  <c r="AF34" i="2" s="1"/>
  <c r="AG25" i="2"/>
  <c r="AG27" i="2" s="1"/>
  <c r="AH25" i="2"/>
  <c r="AH34" i="2" s="1"/>
  <c r="C32" i="2"/>
  <c r="D32" i="2"/>
  <c r="D34" i="2"/>
  <c r="D27" i="2"/>
  <c r="H32" i="2"/>
  <c r="H34" i="2"/>
  <c r="H27" i="2"/>
  <c r="C34" i="2"/>
  <c r="C27" i="2"/>
  <c r="G25" i="2"/>
  <c r="G32" i="2"/>
  <c r="B32" i="2"/>
  <c r="B34" i="2"/>
  <c r="B27" i="2"/>
  <c r="F32" i="2"/>
  <c r="T40" i="2"/>
  <c r="T49" i="2"/>
  <c r="Q49" i="2"/>
  <c r="Q57" i="2" s="1"/>
  <c r="Q58" i="2" s="1"/>
  <c r="L49" i="2"/>
  <c r="S97" i="2"/>
  <c r="T23" i="2"/>
  <c r="T31" i="2"/>
  <c r="M86" i="2"/>
  <c r="S57" i="2"/>
  <c r="S58" i="2" s="1"/>
  <c r="S40" i="2"/>
  <c r="O86" i="2"/>
  <c r="R49" i="2"/>
  <c r="R57" i="2" s="1"/>
  <c r="R58" i="2" s="1"/>
  <c r="N86" i="2"/>
  <c r="N97" i="2" s="1"/>
  <c r="P86" i="2"/>
  <c r="P97" i="2" s="1"/>
  <c r="K86" i="2"/>
  <c r="K97" i="2" s="1"/>
  <c r="M49" i="2"/>
  <c r="M57" i="2" s="1"/>
  <c r="M58" i="2" s="1"/>
  <c r="Q80" i="2"/>
  <c r="Q99" i="2" s="1"/>
  <c r="P99" i="2"/>
  <c r="P101" i="2" s="1"/>
  <c r="M40" i="2"/>
  <c r="L56" i="2"/>
  <c r="R23" i="2"/>
  <c r="M80" i="2"/>
  <c r="M99" i="2" s="1"/>
  <c r="M101" i="2" s="1"/>
  <c r="Q86" i="2"/>
  <c r="Q40" i="2"/>
  <c r="M23" i="2"/>
  <c r="Q23" i="2"/>
  <c r="Q31" i="2"/>
  <c r="L86" i="2"/>
  <c r="L97" i="2" s="1"/>
  <c r="L99" i="2"/>
  <c r="L101" i="2" s="1"/>
  <c r="L40" i="2"/>
  <c r="P49" i="2"/>
  <c r="P57" i="2" s="1"/>
  <c r="P58" i="2" s="1"/>
  <c r="P40" i="2"/>
  <c r="L23" i="2"/>
  <c r="L31" i="2"/>
  <c r="P23" i="2"/>
  <c r="P31" i="2"/>
  <c r="J86" i="2"/>
  <c r="N99" i="2"/>
  <c r="N101" i="2" s="1"/>
  <c r="O80" i="2"/>
  <c r="O99" i="2" s="1"/>
  <c r="O101" i="2" s="1"/>
  <c r="K99" i="2"/>
  <c r="K101" i="2" s="1"/>
  <c r="J79" i="2"/>
  <c r="J80" i="2" s="1"/>
  <c r="J56" i="2"/>
  <c r="J40" i="2"/>
  <c r="N51" i="2"/>
  <c r="N56" i="2" s="1"/>
  <c r="N47" i="2"/>
  <c r="N41" i="2"/>
  <c r="N40" i="2" s="1"/>
  <c r="J37" i="2"/>
  <c r="J22" i="2"/>
  <c r="J18" i="2"/>
  <c r="N37" i="2"/>
  <c r="N22" i="2"/>
  <c r="N18" i="2"/>
  <c r="N31" i="2" s="1"/>
  <c r="O47" i="2"/>
  <c r="K56" i="2"/>
  <c r="K40" i="2"/>
  <c r="O51" i="2"/>
  <c r="O56" i="2" s="1"/>
  <c r="O41" i="2"/>
  <c r="O40" i="2" s="1"/>
  <c r="O37" i="2"/>
  <c r="K37" i="2"/>
  <c r="K22" i="2"/>
  <c r="K18" i="2"/>
  <c r="O18" i="2"/>
  <c r="O22" i="2"/>
  <c r="AJ18" i="2"/>
  <c r="AJ31" i="2" s="1"/>
  <c r="AK18" i="2"/>
  <c r="AK31" i="2" s="1"/>
  <c r="AL18" i="2"/>
  <c r="AK3" i="2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M6" i="1"/>
  <c r="E23" i="2" l="1"/>
  <c r="E32" i="2" s="1"/>
  <c r="S23" i="2"/>
  <c r="T83" i="2"/>
  <c r="T86" i="2" s="1"/>
  <c r="T97" i="2" s="1"/>
  <c r="AI31" i="2"/>
  <c r="AI23" i="2"/>
  <c r="AL40" i="2"/>
  <c r="AM25" i="2" s="1"/>
  <c r="AM27" i="2" s="1"/>
  <c r="T39" i="2"/>
  <c r="AN23" i="2"/>
  <c r="AO22" i="2"/>
  <c r="AO35" i="2"/>
  <c r="AO18" i="2"/>
  <c r="AO37" i="2"/>
  <c r="AN31" i="2"/>
  <c r="AM32" i="2"/>
  <c r="AD34" i="2"/>
  <c r="I32" i="2"/>
  <c r="E25" i="2"/>
  <c r="E27" i="2" s="1"/>
  <c r="I34" i="2"/>
  <c r="I27" i="2"/>
  <c r="AC34" i="2"/>
  <c r="AC27" i="2"/>
  <c r="AD33" i="2"/>
  <c r="AD28" i="2"/>
  <c r="AE27" i="2"/>
  <c r="AE33" i="2" s="1"/>
  <c r="AF27" i="2"/>
  <c r="AF33" i="2" s="1"/>
  <c r="AG34" i="2"/>
  <c r="AG33" i="2"/>
  <c r="AG28" i="2"/>
  <c r="AH27" i="2"/>
  <c r="AH33" i="2" s="1"/>
  <c r="D33" i="2"/>
  <c r="D28" i="2"/>
  <c r="H33" i="2"/>
  <c r="H28" i="2"/>
  <c r="C28" i="2"/>
  <c r="C33" i="2"/>
  <c r="G34" i="2"/>
  <c r="G27" i="2"/>
  <c r="B33" i="2"/>
  <c r="B28" i="2"/>
  <c r="F34" i="2"/>
  <c r="F27" i="2"/>
  <c r="P102" i="2"/>
  <c r="L25" i="2"/>
  <c r="L27" i="2" s="1"/>
  <c r="Q32" i="2"/>
  <c r="T25" i="2"/>
  <c r="T34" i="2" s="1"/>
  <c r="T62" i="2" s="1"/>
  <c r="T63" i="2" s="1"/>
  <c r="M9" i="1"/>
  <c r="AM104" i="2" s="1"/>
  <c r="P32" i="2"/>
  <c r="S32" i="2"/>
  <c r="T100" i="2"/>
  <c r="Q101" i="2"/>
  <c r="T102" i="2" s="1"/>
  <c r="O102" i="2"/>
  <c r="N102" i="2"/>
  <c r="L57" i="2"/>
  <c r="L58" i="2" s="1"/>
  <c r="S100" i="2"/>
  <c r="T32" i="2"/>
  <c r="R100" i="2"/>
  <c r="Q97" i="2"/>
  <c r="S25" i="2"/>
  <c r="S34" i="2" s="1"/>
  <c r="S62" i="2" s="1"/>
  <c r="S63" i="2" s="1"/>
  <c r="Q100" i="2"/>
  <c r="O100" i="2"/>
  <c r="P100" i="2"/>
  <c r="N100" i="2"/>
  <c r="R32" i="2"/>
  <c r="R25" i="2"/>
  <c r="M97" i="2"/>
  <c r="M32" i="2"/>
  <c r="M25" i="2"/>
  <c r="Q25" i="2"/>
  <c r="Q34" i="2" s="1"/>
  <c r="Q62" i="2" s="1"/>
  <c r="Q63" i="2" s="1"/>
  <c r="L32" i="2"/>
  <c r="P25" i="2"/>
  <c r="P34" i="2" s="1"/>
  <c r="P62" i="2" s="1"/>
  <c r="P63" i="2" s="1"/>
  <c r="N49" i="2"/>
  <c r="N57" i="2" s="1"/>
  <c r="N58" i="2" s="1"/>
  <c r="J99" i="2"/>
  <c r="J101" i="2" s="1"/>
  <c r="M102" i="2" s="1"/>
  <c r="J97" i="2"/>
  <c r="J49" i="2"/>
  <c r="J57" i="2" s="1"/>
  <c r="J58" i="2" s="1"/>
  <c r="O97" i="2"/>
  <c r="J23" i="2"/>
  <c r="J31" i="2"/>
  <c r="N23" i="2"/>
  <c r="O49" i="2"/>
  <c r="O57" i="2" s="1"/>
  <c r="O58" i="2" s="1"/>
  <c r="K49" i="2"/>
  <c r="K57" i="2" s="1"/>
  <c r="K58" i="2" s="1"/>
  <c r="K23" i="2"/>
  <c r="K31" i="2"/>
  <c r="O23" i="2"/>
  <c r="O31" i="2"/>
  <c r="AL23" i="2"/>
  <c r="AL32" i="2" s="1"/>
  <c r="AL31" i="2"/>
  <c r="AJ23" i="2"/>
  <c r="AK23" i="2"/>
  <c r="U83" i="2" l="1"/>
  <c r="U86" i="2" s="1"/>
  <c r="U97" i="2" s="1"/>
  <c r="AI32" i="2"/>
  <c r="AI25" i="2"/>
  <c r="AO23" i="2"/>
  <c r="AO32" i="2" s="1"/>
  <c r="AP35" i="2"/>
  <c r="AP22" i="2"/>
  <c r="AM34" i="2"/>
  <c r="AP18" i="2"/>
  <c r="AN32" i="2"/>
  <c r="AO31" i="2"/>
  <c r="AP37" i="2"/>
  <c r="E34" i="2"/>
  <c r="E33" i="2"/>
  <c r="E28" i="2"/>
  <c r="I33" i="2"/>
  <c r="I28" i="2"/>
  <c r="AC33" i="2"/>
  <c r="AC28" i="2"/>
  <c r="AE28" i="2"/>
  <c r="AF28" i="2"/>
  <c r="AH28" i="2"/>
  <c r="G33" i="2"/>
  <c r="G28" i="2"/>
  <c r="R102" i="2"/>
  <c r="T27" i="2"/>
  <c r="T65" i="2" s="1"/>
  <c r="F33" i="2"/>
  <c r="F28" i="2"/>
  <c r="L65" i="2"/>
  <c r="O25" i="2"/>
  <c r="O34" i="2" s="1"/>
  <c r="O62" i="2" s="1"/>
  <c r="O63" i="2" s="1"/>
  <c r="Q102" i="2"/>
  <c r="J32" i="2"/>
  <c r="K32" i="2"/>
  <c r="L34" i="2"/>
  <c r="L62" i="2" s="1"/>
  <c r="L63" i="2" s="1"/>
  <c r="S102" i="2"/>
  <c r="S27" i="2"/>
  <c r="P27" i="2"/>
  <c r="Q27" i="2"/>
  <c r="K100" i="2"/>
  <c r="J100" i="2"/>
  <c r="M100" i="2"/>
  <c r="L100" i="2"/>
  <c r="R34" i="2"/>
  <c r="R62" i="2" s="1"/>
  <c r="R63" i="2" s="1"/>
  <c r="R27" i="2"/>
  <c r="M27" i="2"/>
  <c r="M34" i="2"/>
  <c r="M62" i="2" s="1"/>
  <c r="M63" i="2" s="1"/>
  <c r="L33" i="2"/>
  <c r="L28" i="2"/>
  <c r="J25" i="2"/>
  <c r="J27" i="2" s="1"/>
  <c r="N32" i="2"/>
  <c r="N25" i="2"/>
  <c r="K25" i="2"/>
  <c r="K27" i="2" s="1"/>
  <c r="O32" i="2"/>
  <c r="AL25" i="2"/>
  <c r="AL34" i="2" s="1"/>
  <c r="AK25" i="2"/>
  <c r="AK27" i="2" s="1"/>
  <c r="AK32" i="2"/>
  <c r="AJ32" i="2"/>
  <c r="AJ25" i="2"/>
  <c r="M11" i="1" l="1"/>
  <c r="U60" i="2"/>
  <c r="U61" i="2" s="1"/>
  <c r="AI27" i="2"/>
  <c r="AI34" i="2"/>
  <c r="AP23" i="2"/>
  <c r="AP32" i="2" s="1"/>
  <c r="AM28" i="2"/>
  <c r="AQ35" i="2"/>
  <c r="AQ22" i="2"/>
  <c r="AQ18" i="2"/>
  <c r="AP31" i="2"/>
  <c r="R65" i="2"/>
  <c r="AQ37" i="2"/>
  <c r="T33" i="2"/>
  <c r="T28" i="2"/>
  <c r="J65" i="2"/>
  <c r="M60" i="2"/>
  <c r="M61" i="2" s="1"/>
  <c r="P65" i="2"/>
  <c r="S60" i="2"/>
  <c r="S61" i="2" s="1"/>
  <c r="M65" i="2"/>
  <c r="K65" i="2"/>
  <c r="Q65" i="2"/>
  <c r="T60" i="2"/>
  <c r="T61" i="2" s="1"/>
  <c r="O27" i="2"/>
  <c r="P28" i="2"/>
  <c r="S33" i="2"/>
  <c r="S65" i="2"/>
  <c r="S28" i="2"/>
  <c r="P33" i="2"/>
  <c r="Q33" i="2"/>
  <c r="Q28" i="2"/>
  <c r="R33" i="2"/>
  <c r="R28" i="2"/>
  <c r="M28" i="2"/>
  <c r="M33" i="2"/>
  <c r="J34" i="2"/>
  <c r="J62" i="2" s="1"/>
  <c r="J63" i="2" s="1"/>
  <c r="J33" i="2"/>
  <c r="J28" i="2"/>
  <c r="N34" i="2"/>
  <c r="N62" i="2" s="1"/>
  <c r="N63" i="2" s="1"/>
  <c r="N27" i="2"/>
  <c r="N60" i="2" s="1"/>
  <c r="N61" i="2" s="1"/>
  <c r="K34" i="2"/>
  <c r="K62" i="2" s="1"/>
  <c r="K63" i="2" s="1"/>
  <c r="K28" i="2"/>
  <c r="K33" i="2"/>
  <c r="AL27" i="2"/>
  <c r="AL28" i="2" s="1"/>
  <c r="AK34" i="2"/>
  <c r="AK28" i="2"/>
  <c r="AK33" i="2"/>
  <c r="AJ34" i="2"/>
  <c r="AJ27" i="2"/>
  <c r="AI33" i="2" l="1"/>
  <c r="AI28" i="2"/>
  <c r="AQ23" i="2"/>
  <c r="AQ32" i="2" s="1"/>
  <c r="AR35" i="2"/>
  <c r="AR22" i="2"/>
  <c r="AR18" i="2"/>
  <c r="AQ31" i="2"/>
  <c r="AM33" i="2"/>
  <c r="AN24" i="2"/>
  <c r="AR37" i="2"/>
  <c r="O60" i="2"/>
  <c r="O61" i="2" s="1"/>
  <c r="O65" i="2"/>
  <c r="R60" i="2"/>
  <c r="R61" i="2" s="1"/>
  <c r="P60" i="2"/>
  <c r="P61" i="2" s="1"/>
  <c r="N65" i="2"/>
  <c r="Q60" i="2"/>
  <c r="Q61" i="2" s="1"/>
  <c r="O28" i="2"/>
  <c r="O33" i="2"/>
  <c r="N33" i="2"/>
  <c r="N28" i="2"/>
  <c r="AL33" i="2"/>
  <c r="AJ33" i="2"/>
  <c r="AJ28" i="2"/>
  <c r="AR23" i="2" l="1"/>
  <c r="AR32" i="2" s="1"/>
  <c r="AS35" i="2"/>
  <c r="AS22" i="2"/>
  <c r="AS18" i="2"/>
  <c r="AS37" i="2"/>
  <c r="AR31" i="2"/>
  <c r="AN25" i="2"/>
  <c r="AN26" i="2" l="1"/>
  <c r="AN27" i="2" s="1"/>
  <c r="AS23" i="2"/>
  <c r="AS32" i="2" s="1"/>
  <c r="AT35" i="2"/>
  <c r="AT22" i="2"/>
  <c r="AT18" i="2"/>
  <c r="AS31" i="2"/>
  <c r="AT37" i="2"/>
  <c r="AN34" i="2" l="1"/>
  <c r="AN40" i="2"/>
  <c r="AT23" i="2"/>
  <c r="AT32" i="2" s="1"/>
  <c r="AU35" i="2"/>
  <c r="AU22" i="2"/>
  <c r="AU18" i="2"/>
  <c r="AT31" i="2"/>
  <c r="AU37" i="2"/>
  <c r="AU23" i="2" l="1"/>
  <c r="AU32" i="2" s="1"/>
  <c r="AV35" i="2"/>
  <c r="AV22" i="2"/>
  <c r="AN33" i="2"/>
  <c r="AN28" i="2"/>
  <c r="AV18" i="2"/>
  <c r="AU31" i="2"/>
  <c r="AV37" i="2"/>
  <c r="AV23" i="2" l="1"/>
  <c r="AV32" i="2" s="1"/>
  <c r="AO24" i="2"/>
  <c r="AO25" i="2" s="1"/>
  <c r="AO26" i="2" s="1"/>
  <c r="AO34" i="2" s="1"/>
  <c r="AW35" i="2"/>
  <c r="AW22" i="2"/>
  <c r="AW18" i="2"/>
  <c r="AV31" i="2"/>
  <c r="AW37" i="2"/>
  <c r="AW23" i="2" l="1"/>
  <c r="AW32" i="2" s="1"/>
  <c r="AO27" i="2"/>
  <c r="AW31" i="2"/>
  <c r="AO33" i="2" l="1"/>
  <c r="AO28" i="2"/>
  <c r="AO40" i="2"/>
  <c r="AP24" i="2" l="1"/>
  <c r="AP25" i="2" s="1"/>
  <c r="AP26" i="2" s="1"/>
  <c r="AP34" i="2" s="1"/>
  <c r="AP27" i="2" l="1"/>
  <c r="AP33" i="2" l="1"/>
  <c r="AP28" i="2"/>
  <c r="AP40" i="2"/>
  <c r="AQ24" i="2" l="1"/>
  <c r="AQ25" i="2" s="1"/>
  <c r="AQ26" i="2" s="1"/>
  <c r="AQ34" i="2" s="1"/>
  <c r="AQ27" i="2" l="1"/>
  <c r="AQ33" i="2" l="1"/>
  <c r="AQ28" i="2"/>
  <c r="AQ40" i="2"/>
  <c r="AR24" i="2" l="1"/>
  <c r="AR25" i="2" s="1"/>
  <c r="AR26" i="2" s="1"/>
  <c r="AR34" i="2" s="1"/>
  <c r="AR27" i="2" l="1"/>
  <c r="AR33" i="2" l="1"/>
  <c r="AR28" i="2"/>
  <c r="AR40" i="2"/>
  <c r="AS24" i="2" l="1"/>
  <c r="AS25" i="2" s="1"/>
  <c r="AS26" i="2" s="1"/>
  <c r="AS34" i="2" s="1"/>
  <c r="AS27" i="2" l="1"/>
  <c r="AS28" i="2" s="1"/>
  <c r="AS33" i="2" l="1"/>
  <c r="AS40" i="2"/>
  <c r="AT24" i="2" s="1"/>
  <c r="AT25" i="2" l="1"/>
  <c r="AT26" i="2" s="1"/>
  <c r="AT34" i="2" l="1"/>
  <c r="AT27" i="2" l="1"/>
  <c r="AT33" i="2" l="1"/>
  <c r="AT28" i="2"/>
  <c r="AT40" i="2"/>
  <c r="AU24" i="2" l="1"/>
  <c r="AU25" i="2" s="1"/>
  <c r="AU26" i="2" s="1"/>
  <c r="AU34" i="2" s="1"/>
  <c r="AU27" i="2" l="1"/>
  <c r="AU33" i="2" l="1"/>
  <c r="AU28" i="2"/>
  <c r="AU40" i="2"/>
  <c r="AV24" i="2" l="1"/>
  <c r="AV25" i="2" s="1"/>
  <c r="AV26" i="2" s="1"/>
  <c r="AV34" i="2" s="1"/>
  <c r="AV27" i="2" l="1"/>
  <c r="AV33" i="2" l="1"/>
  <c r="AV28" i="2"/>
  <c r="AV40" i="2"/>
  <c r="AW24" i="2" s="1"/>
  <c r="AW25" i="2" l="1"/>
  <c r="AW26" i="2" l="1"/>
  <c r="AW34" i="2" s="1"/>
  <c r="AW27" i="2" l="1"/>
  <c r="AW28" i="2" l="1"/>
  <c r="AX27" i="2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AZ34" i="2" s="1"/>
  <c r="AW40" i="2"/>
  <c r="AW33" i="2"/>
  <c r="AZ35" i="2" l="1"/>
  <c r="AZ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V16" authorId="0" shapeId="0" xr:uid="{86827785-49C8-42C0-97B4-A404C0CE8D0E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$39.5-41.8 billion</t>
        </r>
      </text>
    </comment>
    <comment ref="AN22" authorId="0" shapeId="0" xr:uid="{E591E616-5ED1-4E60-80F3-CA16F975117D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$114-119 billion
due to infrastructer cost</t>
        </r>
      </text>
    </comment>
    <comment ref="AN26" authorId="0" shapeId="0" xr:uid="{1FF462AD-5EB7-40D0-A9D7-1548F76EF63C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12-15%</t>
        </r>
      </text>
    </comment>
    <comment ref="AN82" authorId="0" shapeId="0" xr:uid="{B23BC222-D655-4F35-8898-BF5289575E64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$60-65 billion
due generative AI efforts</t>
        </r>
      </text>
    </comment>
  </commentList>
</comments>
</file>

<file path=xl/sharedStrings.xml><?xml version="1.0" encoding="utf-8"?>
<sst xmlns="http://schemas.openxmlformats.org/spreadsheetml/2006/main" count="168" uniqueCount="146">
  <si>
    <t>Meta</t>
  </si>
  <si>
    <t>(META)</t>
  </si>
  <si>
    <t>(in millions)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</si>
  <si>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</si>
  <si>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</si>
  <si>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</si>
  <si>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</si>
  <si>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</si>
  <si>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</si>
  <si>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</si>
  <si>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</si>
  <si>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</si>
  <si>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</si>
  <si>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M&amp;S</t>
  </si>
  <si>
    <t>G&amp;A</t>
  </si>
  <si>
    <t>Operating expense</t>
  </si>
  <si>
    <t>Operating income</t>
  </si>
  <si>
    <t>Interest</t>
  </si>
  <si>
    <t>Pretax</t>
  </si>
  <si>
    <t>Taxes</t>
  </si>
  <si>
    <t>Net income</t>
  </si>
  <si>
    <t>EPS</t>
  </si>
  <si>
    <t>Gross margin</t>
  </si>
  <si>
    <t>Operating margin</t>
  </si>
  <si>
    <t>Tax rate</t>
  </si>
  <si>
    <t>Net margin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</si>
  <si>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</si>
  <si>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</si>
  <si>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</si>
  <si>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</si>
  <si>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</si>
  <si>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</si>
  <si>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</si>
  <si>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</si>
  <si>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</si>
  <si>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</si>
  <si>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</si>
  <si>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</si>
  <si>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</si>
  <si>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</si>
  <si>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Net cash</t>
  </si>
  <si>
    <t>L+S/E</t>
  </si>
  <si>
    <t>S/E</t>
  </si>
  <si>
    <t>Liabilities</t>
  </si>
  <si>
    <t>Assets</t>
  </si>
  <si>
    <t>A/P</t>
  </si>
  <si>
    <t>A/R</t>
  </si>
  <si>
    <t>Prepaid</t>
  </si>
  <si>
    <t>PP&amp;E</t>
  </si>
  <si>
    <t>Lease</t>
  </si>
  <si>
    <t>Goodwill</t>
  </si>
  <si>
    <t>Other</t>
  </si>
  <si>
    <t>Partners</t>
  </si>
  <si>
    <t>Accrued</t>
  </si>
  <si>
    <t>Model NI</t>
  </si>
  <si>
    <t>Reported NI</t>
  </si>
  <si>
    <t>Capex</t>
  </si>
  <si>
    <t>Investing</t>
  </si>
  <si>
    <t>Acquisition</t>
  </si>
  <si>
    <t>CFFI</t>
  </si>
  <si>
    <t>CFFO</t>
  </si>
  <si>
    <t>SBC taxes</t>
  </si>
  <si>
    <t>Buybacks</t>
  </si>
  <si>
    <t>CFFF</t>
  </si>
  <si>
    <t>FX</t>
  </si>
  <si>
    <t>CIC</t>
  </si>
  <si>
    <t>FCF</t>
  </si>
  <si>
    <t>FCF TTM</t>
  </si>
  <si>
    <t>Working capital</t>
  </si>
  <si>
    <t>D&amp;A</t>
  </si>
  <si>
    <t>SBC</t>
  </si>
  <si>
    <t>D/T</t>
  </si>
  <si>
    <t>Impairment</t>
  </si>
  <si>
    <t>OA</t>
  </si>
  <si>
    <t>OL</t>
  </si>
  <si>
    <t>Issuance debt</t>
  </si>
  <si>
    <t>Investments</t>
  </si>
  <si>
    <t>eCPM means "effective cost per thousands impression," is ad revenue generated per 1000 ad impressions</t>
  </si>
  <si>
    <t>An ad impression is counted whenever an ad is displayed within an app</t>
  </si>
  <si>
    <t>Advertising</t>
  </si>
  <si>
    <t>Other revenue</t>
  </si>
  <si>
    <t>Family of apps</t>
  </si>
  <si>
    <t>Reality labs</t>
  </si>
  <si>
    <t>Dividends</t>
  </si>
  <si>
    <t>Fee of debt</t>
  </si>
  <si>
    <t>eCPM = (total ad earnings/total impressions) x 1000</t>
  </si>
  <si>
    <t>ARPU</t>
  </si>
  <si>
    <t>Ad spending in the digital advertising market is projected to reach</t>
  </si>
  <si>
    <t>$298.4bn in 2024</t>
  </si>
  <si>
    <t>Q224</t>
  </si>
  <si>
    <t>Q324</t>
  </si>
  <si>
    <t>FCF-SBC</t>
  </si>
  <si>
    <t>FCF-SBC TTM</t>
  </si>
  <si>
    <t>NOPAT</t>
  </si>
  <si>
    <t>ROIC</t>
  </si>
  <si>
    <t>NI TTM</t>
  </si>
  <si>
    <t>Tangible bookvalue</t>
  </si>
  <si>
    <t>Q120</t>
  </si>
  <si>
    <t>Q220</t>
  </si>
  <si>
    <t>Q320</t>
  </si>
  <si>
    <t>Q420</t>
  </si>
  <si>
    <t>DAUs</t>
  </si>
  <si>
    <t xml:space="preserve">Founded </t>
  </si>
  <si>
    <t>Mark Zuckerberg</t>
  </si>
  <si>
    <t>CEO</t>
  </si>
  <si>
    <t>CFO</t>
  </si>
  <si>
    <t>Susan Li</t>
  </si>
  <si>
    <t>CMO</t>
  </si>
  <si>
    <t>Alex Schultz</t>
  </si>
  <si>
    <t>COO</t>
  </si>
  <si>
    <t>Javier Olivan</t>
  </si>
  <si>
    <t>CTO</t>
  </si>
  <si>
    <t>Andrew Bosworth</t>
  </si>
  <si>
    <t>Mark Zuckerberg, Eduardo Saverin, Dustin Moskovitz, Andrew McCollum, Chris Hughes</t>
  </si>
  <si>
    <t>Founders</t>
  </si>
  <si>
    <t>The company owns and operates:</t>
  </si>
  <si>
    <t>Facebook</t>
  </si>
  <si>
    <t>Instagram</t>
  </si>
  <si>
    <t>Threads</t>
  </si>
  <si>
    <t>WhatsApp</t>
  </si>
  <si>
    <t>Advertising accounts for 97,8% of its revenue in 2023</t>
  </si>
  <si>
    <t>Meta Platforms</t>
  </si>
  <si>
    <t>represented 1% of our worldwide MAUs</t>
  </si>
  <si>
    <t>User-misclassified accounts and undesirable accounts</t>
  </si>
  <si>
    <t>In 2016 "duplicate" accounts may have represented 6% of our worldwide MAUs</t>
  </si>
  <si>
    <t>Oculus</t>
  </si>
  <si>
    <t>y/y</t>
  </si>
  <si>
    <t>Employees</t>
  </si>
  <si>
    <t>Q424</t>
  </si>
  <si>
    <t>For 2018, we estimate that mobile advertising revenue represented approximately 92% of total advertising revenue</t>
  </si>
  <si>
    <t>Ad impressions y/y</t>
  </si>
  <si>
    <t>Avg price per ad y/y</t>
  </si>
  <si>
    <t>NPV</t>
  </si>
  <si>
    <t>Per share</t>
  </si>
  <si>
    <t>Current price</t>
  </si>
  <si>
    <t>Upside</t>
  </si>
  <si>
    <t>CAGR</t>
  </si>
  <si>
    <t>R&amp;D margin</t>
  </si>
  <si>
    <t>Q125</t>
  </si>
  <si>
    <t>Q225</t>
  </si>
  <si>
    <t>Q325</t>
  </si>
  <si>
    <t>Q425</t>
  </si>
  <si>
    <t>TTM NI</t>
  </si>
  <si>
    <t>Discount</t>
  </si>
  <si>
    <t>Terminal</t>
  </si>
  <si>
    <t>EV/FCF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</si>
</sst>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8" formatCode="d/mm/yy;@"/>
  </numFmts>
  <fonts count="8"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3" fontId="4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left" indent="1"/>
    </xf>
    <xf numFmtId="0" fontId="2" fillId="0" borderId="0" xfId="0" applyFont="1"/>
    <xf numFmtId="164" fontId="0" fillId="0" borderId="0" xfId="0" applyNumberFormat="1"/>
    <xf numFmtId="4" fontId="0" fillId="0" borderId="0" xfId="0" applyNumberForma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2" borderId="0" xfId="0" applyNumberFormat="1" applyFill="1"/>
    <xf numFmtId="3" fontId="4" fillId="2" borderId="0" xfId="0" applyNumberFormat="1" applyFont="1" applyFill="1"/>
    <xf numFmtId="168" fontId="3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38100</xdr:rowOff>
    </xdr:from>
    <xdr:to>
      <xdr:col>21</xdr:col>
      <xdr:colOff>28575</xdr:colOff>
      <xdr:row>109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D7A301-1F7B-87A3-F15F-8A719A8DB6BF}"/>
            </a:ext>
          </a:extLst>
        </xdr:cNvPr>
        <xdr:cNvCxnSpPr/>
      </xdr:nvCxnSpPr>
      <xdr:spPr>
        <a:xfrm>
          <a:off x="14554200" y="38100"/>
          <a:ext cx="0" cy="17706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0</xdr:row>
      <xdr:rowOff>28575</xdr:rowOff>
    </xdr:from>
    <xdr:to>
      <xdr:col>39</xdr:col>
      <xdr:colOff>19050</xdr:colOff>
      <xdr:row>109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40FFBBA-7858-4BF0-9D7B-23A2583EEBB1}"/>
            </a:ext>
          </a:extLst>
        </xdr:cNvPr>
        <xdr:cNvCxnSpPr/>
      </xdr:nvCxnSpPr>
      <xdr:spPr>
        <a:xfrm>
          <a:off x="25555575" y="28575"/>
          <a:ext cx="0" cy="17659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B417-F4D6-4DC4-862A-C4F95C1F5AE3}">
  <dimension ref="A1:N39"/>
  <sheetViews>
    <sheetView topLeftCell="B1" workbookViewId="0">
      <selection activeCell="M11" sqref="M11"/>
    </sheetView>
  </sheetViews>
  <sheetFormatPr defaultRowHeight="12.75"/>
  <cols>
    <col min="1" max="1" width="13.7109375" bestFit="1" customWidth="1"/>
    <col min="2" max="2" width="13.7109375" customWidth="1"/>
    <col min="3" max="3" width="9.28515625" customWidth="1"/>
    <col min="13" max="13" width="10" bestFit="1" customWidth="1"/>
  </cols>
  <sheetData>
    <row r="1" spans="1:14" ht="34.5">
      <c r="A1" s="12" t="s">
        <v>0</v>
      </c>
      <c r="B1" s="1" t="s">
        <v>121</v>
      </c>
    </row>
    <row r="2" spans="1:14">
      <c r="A2" s="3" t="s">
        <v>1</v>
      </c>
      <c r="B2" s="3" t="s">
        <v>1</v>
      </c>
    </row>
    <row r="3" spans="1:14">
      <c r="A3" s="3" t="s">
        <v>2</v>
      </c>
      <c r="B3" s="3" t="s">
        <v>2</v>
      </c>
    </row>
    <row r="4" spans="1:14">
      <c r="C4" t="s">
        <v>115</v>
      </c>
      <c r="L4" t="s">
        <v>3</v>
      </c>
      <c r="M4" s="2">
        <v>504.73</v>
      </c>
    </row>
    <row r="5" spans="1:14">
      <c r="C5" t="s">
        <v>116</v>
      </c>
      <c r="L5" t="s">
        <v>4</v>
      </c>
      <c r="M5" s="2">
        <f>+Model!U29</f>
        <v>2614</v>
      </c>
      <c r="N5" s="4" t="s">
        <v>128</v>
      </c>
    </row>
    <row r="6" spans="1:14">
      <c r="C6" t="s">
        <v>117</v>
      </c>
      <c r="L6" t="s">
        <v>5</v>
      </c>
      <c r="M6" s="2">
        <f>+M4*M5</f>
        <v>1319364.22</v>
      </c>
      <c r="N6" s="4"/>
    </row>
    <row r="7" spans="1:14">
      <c r="C7" t="s">
        <v>118</v>
      </c>
      <c r="L7" t="s">
        <v>6</v>
      </c>
      <c r="M7" s="2">
        <f>+Model!U41</f>
        <v>77815</v>
      </c>
      <c r="N7" s="4" t="s">
        <v>128</v>
      </c>
    </row>
    <row r="8" spans="1:14">
      <c r="C8" t="s">
        <v>119</v>
      </c>
      <c r="L8" t="s">
        <v>7</v>
      </c>
      <c r="M8" s="2">
        <f>+Model!U53</f>
        <v>28826</v>
      </c>
      <c r="N8" s="4" t="s">
        <v>128</v>
      </c>
    </row>
    <row r="9" spans="1:14">
      <c r="C9" t="s">
        <v>125</v>
      </c>
      <c r="L9" t="s">
        <v>8</v>
      </c>
      <c r="M9" s="2">
        <f>+M6-M7+M8</f>
        <v>1270375.22</v>
      </c>
    </row>
    <row r="10" spans="1:14">
      <c r="L10" t="s">
        <v>142</v>
      </c>
      <c r="M10" s="2">
        <f>+M5</f>
        <v>2614</v>
      </c>
    </row>
    <row r="11" spans="1:14">
      <c r="C11" t="s">
        <v>120</v>
      </c>
      <c r="M11" s="13">
        <f>+M9/M10</f>
        <v>485.98899005355776</v>
      </c>
    </row>
    <row r="13" spans="1:14">
      <c r="C13" t="s">
        <v>124</v>
      </c>
      <c r="L13" t="s">
        <v>102</v>
      </c>
      <c r="M13">
        <v>2004</v>
      </c>
    </row>
    <row r="14" spans="1:14">
      <c r="C14" t="s">
        <v>123</v>
      </c>
      <c r="L14" t="s">
        <v>114</v>
      </c>
      <c r="M14" t="s">
        <v>113</v>
      </c>
    </row>
    <row r="15" spans="1:14">
      <c r="C15" s="11" t="s">
        <v>122</v>
      </c>
      <c r="L15" t="s">
        <v>104</v>
      </c>
      <c r="M15" t="s">
        <v>103</v>
      </c>
    </row>
    <row r="16" spans="1:14">
      <c r="L16" t="s">
        <v>105</v>
      </c>
      <c r="M16" t="s">
        <v>106</v>
      </c>
    </row>
    <row r="17" spans="3:13">
      <c r="L17" t="s">
        <v>107</v>
      </c>
      <c r="M17" t="s">
        <v>108</v>
      </c>
    </row>
    <row r="18" spans="3:13">
      <c r="L18" t="s">
        <v>109</v>
      </c>
      <c r="M18" t="s">
        <v>110</v>
      </c>
    </row>
    <row r="19" spans="3:13">
      <c r="L19" t="s">
        <v>111</v>
      </c>
      <c r="M19" t="s">
        <v>112</v>
      </c>
    </row>
    <row r="23" spans="3:13">
      <c r="C23" t="s">
        <v>87</v>
      </c>
    </row>
    <row r="24" spans="3:13">
      <c r="C24" t="s">
        <v>88</v>
      </c>
    </row>
    <row r="26" spans="3:13">
      <c r="C26" s="15" t="s">
        <v>129</v>
      </c>
    </row>
    <row r="37" spans="3:3">
      <c r="C37" s="2" t="s">
        <v>77</v>
      </c>
    </row>
    <row r="38" spans="3:3">
      <c r="C38" s="2" t="s">
        <v>85</v>
      </c>
    </row>
    <row r="39" spans="3:3">
      <c r="C39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5C1-B863-4350-A92A-7F0E11FBD1C2}">
  <dimension ref="A2:ET10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24" sqref="W24"/>
    </sheetView>
  </sheetViews>
  <sheetFormatPr defaultRowHeight="12.75"/>
  <cols>
    <col min="1" max="1" width="17.5703125" style="2" bestFit="1" customWidth="1"/>
    <col min="2" max="5" width="10.140625" style="2" customWidth="1"/>
    <col min="6" max="9" width="9.140625" style="2"/>
    <col min="10" max="12" width="10.28515625" style="2" bestFit="1" customWidth="1"/>
    <col min="13" max="13" width="11" style="2" bestFit="1" customWidth="1"/>
    <col min="14" max="16" width="10.28515625" style="2" bestFit="1" customWidth="1"/>
    <col min="17" max="17" width="11" style="2" bestFit="1" customWidth="1"/>
    <col min="18" max="18" width="10.28515625" style="2" bestFit="1" customWidth="1"/>
    <col min="19" max="20" width="10" style="2" bestFit="1" customWidth="1"/>
    <col min="21" max="35" width="9.140625" style="2"/>
    <col min="36" max="39" width="9.28515625" style="2" bestFit="1" customWidth="1"/>
    <col min="40" max="50" width="9.140625" style="2"/>
    <col min="51" max="51" width="13.140625" style="2" bestFit="1" customWidth="1"/>
    <col min="52" max="56" width="9.140625" style="2"/>
    <col min="57" max="57" width="13.140625" style="2" bestFit="1" customWidth="1"/>
    <col min="58" max="16384" width="9.140625" style="2"/>
  </cols>
  <sheetData>
    <row r="2" spans="1:49" s="21" customFormat="1">
      <c r="A2" s="20"/>
      <c r="B2" s="21">
        <v>45382</v>
      </c>
      <c r="C2" s="21">
        <v>45473</v>
      </c>
      <c r="D2" s="21">
        <v>45565</v>
      </c>
      <c r="E2" s="21">
        <v>45657</v>
      </c>
      <c r="F2" s="21">
        <v>45382</v>
      </c>
      <c r="G2" s="21">
        <v>45473</v>
      </c>
      <c r="H2" s="21">
        <v>45565</v>
      </c>
      <c r="I2" s="21">
        <v>45657</v>
      </c>
      <c r="J2" s="21">
        <v>44651</v>
      </c>
      <c r="K2" s="21">
        <v>44742</v>
      </c>
      <c r="L2" s="21">
        <v>44834</v>
      </c>
      <c r="M2" s="21">
        <v>44926</v>
      </c>
      <c r="N2" s="21">
        <v>45016</v>
      </c>
      <c r="O2" s="21">
        <v>45107</v>
      </c>
      <c r="P2" s="21">
        <v>45199</v>
      </c>
      <c r="Q2" s="21">
        <v>45291</v>
      </c>
      <c r="R2" s="21">
        <v>45382</v>
      </c>
      <c r="S2" s="21">
        <v>45473</v>
      </c>
      <c r="T2" s="21">
        <v>45565</v>
      </c>
      <c r="U2" s="21">
        <v>45657</v>
      </c>
      <c r="AC2" s="21">
        <v>45657</v>
      </c>
      <c r="AD2" s="21">
        <v>45657</v>
      </c>
      <c r="AE2" s="21">
        <v>45657</v>
      </c>
      <c r="AF2" s="21">
        <v>45657</v>
      </c>
      <c r="AG2" s="21">
        <v>45657</v>
      </c>
      <c r="AH2" s="21">
        <v>45657</v>
      </c>
      <c r="AI2" s="21">
        <v>45657</v>
      </c>
      <c r="AJ2" s="21">
        <v>45657</v>
      </c>
      <c r="AK2" s="21">
        <v>45657</v>
      </c>
      <c r="AL2" s="21">
        <v>45657</v>
      </c>
      <c r="AM2" s="21">
        <v>45657</v>
      </c>
    </row>
    <row r="3" spans="1:49" s="4" customFormat="1">
      <c r="A3" s="3" t="s">
        <v>2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89</v>
      </c>
      <c r="T3" s="4" t="s">
        <v>90</v>
      </c>
      <c r="U3" s="4" t="s">
        <v>128</v>
      </c>
      <c r="V3" s="4" t="s">
        <v>138</v>
      </c>
      <c r="W3" s="4" t="s">
        <v>139</v>
      </c>
      <c r="X3" s="4" t="s">
        <v>140</v>
      </c>
      <c r="Y3" s="4" t="s">
        <v>141</v>
      </c>
      <c r="AC3" s="4">
        <v>2014</v>
      </c>
      <c r="AD3" s="4">
        <f>+AC3+1</f>
        <v>2015</v>
      </c>
      <c r="AE3" s="4">
        <f t="shared" ref="AE3:AH3" si="0">+AD3+1</f>
        <v>2016</v>
      </c>
      <c r="AF3" s="4">
        <f t="shared" si="0"/>
        <v>2017</v>
      </c>
      <c r="AG3" s="4">
        <f t="shared" si="0"/>
        <v>2018</v>
      </c>
      <c r="AH3" s="4">
        <f t="shared" si="0"/>
        <v>2019</v>
      </c>
      <c r="AI3" s="4">
        <v>2020</v>
      </c>
      <c r="AJ3" s="4">
        <v>2021</v>
      </c>
      <c r="AK3" s="4">
        <f>+AJ3+1</f>
        <v>2022</v>
      </c>
      <c r="AL3" s="4">
        <f t="shared" ref="AL3:AM3" si="1">+AK3+1</f>
        <v>2023</v>
      </c>
      <c r="AM3" s="4">
        <f t="shared" si="1"/>
        <v>2024</v>
      </c>
      <c r="AN3" s="4">
        <f>+AM3+1</f>
        <v>2025</v>
      </c>
      <c r="AO3" s="4">
        <f t="shared" ref="AO3:AW3" si="2">+AN3+1</f>
        <v>2026</v>
      </c>
      <c r="AP3" s="4">
        <f t="shared" si="2"/>
        <v>2027</v>
      </c>
      <c r="AQ3" s="4">
        <f t="shared" si="2"/>
        <v>2028</v>
      </c>
      <c r="AR3" s="4">
        <f t="shared" si="2"/>
        <v>2029</v>
      </c>
      <c r="AS3" s="4">
        <f t="shared" si="2"/>
        <v>2030</v>
      </c>
      <c r="AT3" s="4">
        <f t="shared" si="2"/>
        <v>2031</v>
      </c>
      <c r="AU3" s="4">
        <f t="shared" si="2"/>
        <v>2032</v>
      </c>
      <c r="AV3" s="4">
        <f t="shared" si="2"/>
        <v>2033</v>
      </c>
      <c r="AW3" s="4">
        <f t="shared" si="2"/>
        <v>2034</v>
      </c>
    </row>
    <row r="4" spans="1:49" s="5" customFormat="1">
      <c r="A4" s="2" t="s">
        <v>101</v>
      </c>
      <c r="B4" s="5">
        <v>2360</v>
      </c>
      <c r="C4" s="5">
        <v>2470</v>
      </c>
      <c r="D4" s="5">
        <v>2540</v>
      </c>
      <c r="E4" s="5">
        <v>2600</v>
      </c>
      <c r="F4" s="5">
        <v>2720</v>
      </c>
      <c r="G4" s="5">
        <v>2760</v>
      </c>
      <c r="H4" s="5">
        <v>2810</v>
      </c>
      <c r="I4" s="5">
        <v>2820</v>
      </c>
      <c r="J4" s="2">
        <v>2870</v>
      </c>
      <c r="K4" s="2">
        <v>2880</v>
      </c>
      <c r="L4" s="2">
        <v>2930</v>
      </c>
      <c r="M4" s="2">
        <v>2960</v>
      </c>
      <c r="N4" s="2">
        <v>3020</v>
      </c>
      <c r="O4" s="2">
        <v>3070</v>
      </c>
      <c r="P4" s="2">
        <v>3140</v>
      </c>
      <c r="Q4" s="2">
        <v>3190</v>
      </c>
      <c r="R4" s="5">
        <v>3240</v>
      </c>
      <c r="S4" s="5">
        <v>3270</v>
      </c>
      <c r="T4" s="5">
        <v>3290</v>
      </c>
      <c r="U4" s="5">
        <f>+Q4*1.05</f>
        <v>3349.5</v>
      </c>
      <c r="AI4" s="5">
        <f>+AVERAGE(B4:E4)</f>
        <v>2492.5</v>
      </c>
      <c r="AJ4" s="5">
        <f>+AVERAGE(F4:I4)</f>
        <v>2777.5</v>
      </c>
      <c r="AK4" s="5">
        <f>+AVERAGE(J4:M4)</f>
        <v>2910</v>
      </c>
      <c r="AL4" s="5">
        <f>+AVERAGE(N4:Q4)</f>
        <v>3105</v>
      </c>
      <c r="AM4" s="5">
        <f>+AVERAGE(R4:U4)</f>
        <v>3287.375</v>
      </c>
    </row>
    <row r="5" spans="1:49" s="7" customFormat="1">
      <c r="A5" s="6" t="s">
        <v>126</v>
      </c>
      <c r="F5" s="7">
        <f>+F4/B4-1</f>
        <v>0.15254237288135597</v>
      </c>
      <c r="G5" s="7">
        <f t="shared" ref="G5:M5" si="3">+G4/C4-1</f>
        <v>0.1174089068825912</v>
      </c>
      <c r="H5" s="7">
        <f t="shared" si="3"/>
        <v>0.10629921259842523</v>
      </c>
      <c r="I5" s="7">
        <f t="shared" si="3"/>
        <v>8.4615384615384537E-2</v>
      </c>
      <c r="J5" s="7">
        <f t="shared" si="3"/>
        <v>5.5147058823529438E-2</v>
      </c>
      <c r="K5" s="7">
        <f t="shared" si="3"/>
        <v>4.3478260869565188E-2</v>
      </c>
      <c r="L5" s="7">
        <f t="shared" si="3"/>
        <v>4.2704626334519658E-2</v>
      </c>
      <c r="M5" s="7">
        <f t="shared" si="3"/>
        <v>4.9645390070921946E-2</v>
      </c>
      <c r="N5" s="7">
        <f t="shared" ref="N5:S5" si="4">+N4/J4-1</f>
        <v>5.2264808362369353E-2</v>
      </c>
      <c r="O5" s="7">
        <f t="shared" si="4"/>
        <v>6.5972222222222321E-2</v>
      </c>
      <c r="P5" s="7">
        <f t="shared" si="4"/>
        <v>7.1672354948805417E-2</v>
      </c>
      <c r="Q5" s="7">
        <f t="shared" si="4"/>
        <v>7.7702702702702631E-2</v>
      </c>
      <c r="R5" s="7">
        <f t="shared" si="4"/>
        <v>7.2847682119205226E-2</v>
      </c>
      <c r="S5" s="7">
        <f t="shared" si="4"/>
        <v>6.514657980456029E-2</v>
      </c>
      <c r="T5" s="7">
        <f>+T4/P4-1</f>
        <v>4.7770700636942776E-2</v>
      </c>
      <c r="U5" s="7">
        <f>+U4/Q4-1</f>
        <v>5.0000000000000044E-2</v>
      </c>
      <c r="AJ5" s="7">
        <f t="shared" ref="AJ5:AK5" si="5">+AJ4/AI4-1</f>
        <v>0.11434302908726179</v>
      </c>
      <c r="AK5" s="7">
        <f t="shared" si="5"/>
        <v>4.7704770477047687E-2</v>
      </c>
      <c r="AL5" s="7">
        <f>+AL4/AK4-1</f>
        <v>6.7010309278350499E-2</v>
      </c>
      <c r="AM5" s="7">
        <f>+AM4/AL4-1</f>
        <v>5.8735909822866361E-2</v>
      </c>
    </row>
    <row r="6" spans="1:49" s="14" customFormat="1">
      <c r="A6" s="8" t="s">
        <v>86</v>
      </c>
      <c r="C6" s="14">
        <f t="shared" ref="C6:U6" si="6">+C14/AVERAGE(B4:C4)</f>
        <v>7.7378881987577639</v>
      </c>
      <c r="D6" s="14">
        <f t="shared" si="6"/>
        <v>8.5708582834331342</v>
      </c>
      <c r="E6" s="14">
        <f t="shared" si="6"/>
        <v>10.64396887159533</v>
      </c>
      <c r="F6" s="14">
        <f t="shared" si="6"/>
        <v>9.6379699248120296</v>
      </c>
      <c r="G6" s="14">
        <f t="shared" si="6"/>
        <v>10.500729927007299</v>
      </c>
      <c r="H6" s="14">
        <f t="shared" si="6"/>
        <v>10.216157989228007</v>
      </c>
      <c r="I6" s="14">
        <f t="shared" si="6"/>
        <v>11.649733570159858</v>
      </c>
      <c r="J6" s="14">
        <f t="shared" si="6"/>
        <v>9.5652021089630939</v>
      </c>
      <c r="K6" s="14">
        <f t="shared" si="6"/>
        <v>9.8678260869565211</v>
      </c>
      <c r="L6" s="14">
        <f t="shared" si="6"/>
        <v>9.4419965576592091</v>
      </c>
      <c r="M6" s="14">
        <f t="shared" si="6"/>
        <v>10.675042444821731</v>
      </c>
      <c r="N6" s="14">
        <f t="shared" si="6"/>
        <v>9.4668896321070228</v>
      </c>
      <c r="O6" s="14">
        <f t="shared" si="6"/>
        <v>10.418062397372742</v>
      </c>
      <c r="P6" s="14">
        <f t="shared" si="6"/>
        <v>10.929468599033816</v>
      </c>
      <c r="Q6" s="14">
        <f t="shared" si="6"/>
        <v>12.334913112164298</v>
      </c>
      <c r="R6" s="14">
        <f t="shared" si="6"/>
        <v>11.202177293934682</v>
      </c>
      <c r="S6" s="14">
        <f t="shared" si="6"/>
        <v>11.894930875576037</v>
      </c>
      <c r="T6" s="14">
        <f t="shared" si="6"/>
        <v>12.292378048780488</v>
      </c>
      <c r="U6" s="14">
        <f t="shared" si="6"/>
        <v>14.248964530461631</v>
      </c>
      <c r="AI6" s="14">
        <f>+AI14/AVERAGE(AH4:AI4)</f>
        <v>34.202206619859581</v>
      </c>
      <c r="AJ6" s="14">
        <f>+AJ14/AVERAGE(AI4:AJ4)</f>
        <v>43.891840607210625</v>
      </c>
      <c r="AK6" s="14">
        <f>+AK14/AVERAGE(AJ4:AK4)</f>
        <v>40.246153846153845</v>
      </c>
      <c r="AL6" s="14">
        <f>+AL14/AVERAGE(AK4:AL4)</f>
        <v>44.224438902743145</v>
      </c>
      <c r="AM6" s="14">
        <f>+AM14/AVERAGE(AL4:AM4)</f>
        <v>50.79645671600931</v>
      </c>
    </row>
    <row r="7" spans="1:49" s="7" customFormat="1">
      <c r="A7" s="6" t="s">
        <v>126</v>
      </c>
      <c r="G7" s="7">
        <f>+G6/C6-1</f>
        <v>0.35705371508121297</v>
      </c>
      <c r="H7" s="7">
        <f>+H6/D6-1</f>
        <v>0.19196440442553131</v>
      </c>
      <c r="I7" s="7">
        <f t="shared" ref="I7" si="7">+I6/E6-1</f>
        <v>9.4491510704106663E-2</v>
      </c>
      <c r="J7" s="7">
        <f t="shared" ref="J7" si="8">+J6/F6-1</f>
        <v>-7.5501185847863805E-3</v>
      </c>
      <c r="K7" s="7">
        <f t="shared" ref="K7" si="9">+K6/G6-1</f>
        <v>-6.0272366249796039E-2</v>
      </c>
      <c r="L7" s="7">
        <f t="shared" ref="L7" si="10">+L6/H6-1</f>
        <v>-7.5778138159676045E-2</v>
      </c>
      <c r="M7" s="7">
        <f t="shared" ref="M7" si="11">+M6/I6-1</f>
        <v>-8.3666387687590049E-2</v>
      </c>
      <c r="N7" s="7">
        <f t="shared" ref="N7:S7" si="12">+N6/J6-1</f>
        <v>-1.0278139001783093E-2</v>
      </c>
      <c r="O7" s="7">
        <f t="shared" si="12"/>
        <v>5.5760641256490384E-2</v>
      </c>
      <c r="P7" s="7">
        <f t="shared" si="12"/>
        <v>0.15753787160280108</v>
      </c>
      <c r="Q7" s="7">
        <f t="shared" si="12"/>
        <v>0.15549077916291942</v>
      </c>
      <c r="R7" s="7">
        <f t="shared" si="12"/>
        <v>0.18330071747561294</v>
      </c>
      <c r="S7" s="7">
        <f t="shared" si="12"/>
        <v>0.14176037941332886</v>
      </c>
      <c r="T7" s="7">
        <f>+T6/P6-1</f>
        <v>0.1247004314434057</v>
      </c>
      <c r="U7" s="7">
        <f>+U6/Q6-1</f>
        <v>0.15517348204177916</v>
      </c>
    </row>
    <row r="8" spans="1:49" s="4" customFormat="1">
      <c r="A8"/>
    </row>
    <row r="9" spans="1:49" s="6" customFormat="1">
      <c r="A9" s="2" t="s">
        <v>130</v>
      </c>
      <c r="N9" s="6">
        <v>0.26</v>
      </c>
      <c r="O9" s="6">
        <v>0.34</v>
      </c>
      <c r="P9" s="6">
        <v>0.31</v>
      </c>
      <c r="Q9" s="6">
        <v>0.21</v>
      </c>
      <c r="R9" s="6">
        <v>0.2</v>
      </c>
      <c r="S9" s="6">
        <v>0.1</v>
      </c>
      <c r="T9" s="6">
        <v>7.0000000000000007E-2</v>
      </c>
      <c r="U9" s="6">
        <v>0.06</v>
      </c>
    </row>
    <row r="10" spans="1:49" s="6" customFormat="1">
      <c r="A10" s="2" t="s">
        <v>131</v>
      </c>
      <c r="N10" s="6">
        <v>-0.17</v>
      </c>
      <c r="O10" s="6">
        <v>-0.16</v>
      </c>
      <c r="P10" s="6">
        <v>-0.06</v>
      </c>
      <c r="Q10" s="6">
        <v>0.02</v>
      </c>
      <c r="R10" s="6">
        <v>0.06</v>
      </c>
      <c r="S10" s="6">
        <v>0.1</v>
      </c>
      <c r="T10" s="6">
        <v>0.11</v>
      </c>
      <c r="U10" s="6">
        <v>0.14000000000000001</v>
      </c>
    </row>
    <row r="11" spans="1:49" s="6" customFormat="1"/>
    <row r="12" spans="1:49" s="5" customFormat="1">
      <c r="A12" s="2" t="s">
        <v>79</v>
      </c>
      <c r="B12" s="5">
        <v>17440</v>
      </c>
      <c r="C12" s="5">
        <v>18321</v>
      </c>
      <c r="D12" s="5">
        <v>21221</v>
      </c>
      <c r="E12" s="5">
        <f>84169-D12-C12-B12</f>
        <v>27187</v>
      </c>
      <c r="F12" s="5">
        <v>25439</v>
      </c>
      <c r="G12" s="5">
        <v>28580</v>
      </c>
      <c r="H12" s="5">
        <v>28276</v>
      </c>
      <c r="I12" s="5">
        <f>114934-H12-G12-F12</f>
        <v>32639</v>
      </c>
      <c r="J12" s="2">
        <v>26998</v>
      </c>
      <c r="K12" s="2">
        <v>28152</v>
      </c>
      <c r="L12" s="2">
        <v>27237</v>
      </c>
      <c r="M12" s="2">
        <v>31254</v>
      </c>
      <c r="N12" s="2">
        <v>28101</v>
      </c>
      <c r="O12" s="2">
        <v>31498</v>
      </c>
      <c r="P12" s="2">
        <v>33643</v>
      </c>
      <c r="Q12" s="2">
        <v>38706</v>
      </c>
      <c r="R12" s="2">
        <v>35635</v>
      </c>
      <c r="S12" s="5">
        <v>38329</v>
      </c>
      <c r="T12" s="5">
        <v>39885</v>
      </c>
      <c r="U12" s="5">
        <f>+AM12-SUM(R12:T12)</f>
        <v>46784</v>
      </c>
      <c r="AI12" s="5">
        <f>+SUM(B12:E12)</f>
        <v>84169</v>
      </c>
      <c r="AJ12" s="5">
        <f>+SUM(F12:I12)</f>
        <v>114934</v>
      </c>
      <c r="AK12" s="5">
        <f>+SUM(J12:M12)</f>
        <v>113641</v>
      </c>
      <c r="AL12" s="5">
        <f>+SUM(N12:Q12)</f>
        <v>131948</v>
      </c>
      <c r="AM12" s="5">
        <v>160633</v>
      </c>
    </row>
    <row r="13" spans="1:49" s="4" customFormat="1">
      <c r="A13" t="s">
        <v>80</v>
      </c>
      <c r="B13" s="4">
        <v>297</v>
      </c>
      <c r="C13" s="4">
        <v>366</v>
      </c>
      <c r="D13" s="4">
        <v>249</v>
      </c>
      <c r="E13" s="4">
        <v>168</v>
      </c>
      <c r="F13" s="4">
        <v>198</v>
      </c>
      <c r="G13" s="4">
        <v>192</v>
      </c>
      <c r="H13" s="4">
        <v>176</v>
      </c>
      <c r="I13" s="4">
        <f>721-H13-G13-F13</f>
        <v>155</v>
      </c>
      <c r="J13" s="2">
        <v>215</v>
      </c>
      <c r="K13" s="2">
        <v>218</v>
      </c>
      <c r="L13" s="2">
        <v>192</v>
      </c>
      <c r="M13" s="2">
        <v>184</v>
      </c>
      <c r="N13" s="2">
        <v>205</v>
      </c>
      <c r="O13" s="2">
        <v>225</v>
      </c>
      <c r="P13" s="2">
        <v>293</v>
      </c>
      <c r="Q13" s="2">
        <v>334</v>
      </c>
      <c r="R13" s="2">
        <v>380</v>
      </c>
      <c r="S13" s="4">
        <v>389</v>
      </c>
      <c r="T13" s="4">
        <v>434</v>
      </c>
      <c r="U13" s="5">
        <f>+AM13-SUM(R13:T13)</f>
        <v>519</v>
      </c>
      <c r="V13" s="5"/>
      <c r="W13" s="5"/>
      <c r="X13" s="5"/>
      <c r="Y13" s="5"/>
      <c r="Z13" s="5"/>
      <c r="AA13" s="5"/>
      <c r="AI13" s="5">
        <f>+SUM(B13:E13)</f>
        <v>1080</v>
      </c>
      <c r="AJ13" s="5">
        <f>+SUM(F13:I13)</f>
        <v>721</v>
      </c>
      <c r="AK13" s="5">
        <f>+SUM(J13:M13)</f>
        <v>809</v>
      </c>
      <c r="AL13" s="5">
        <f>+SUM(N13:Q13)</f>
        <v>1057</v>
      </c>
      <c r="AM13" s="5">
        <v>1722</v>
      </c>
    </row>
    <row r="14" spans="1:49" s="4" customFormat="1">
      <c r="A14" t="s">
        <v>81</v>
      </c>
      <c r="B14" s="2">
        <f t="shared" ref="B14:J14" si="13">+B12+B13</f>
        <v>17737</v>
      </c>
      <c r="C14" s="2">
        <f t="shared" si="13"/>
        <v>18687</v>
      </c>
      <c r="D14" s="2">
        <f t="shared" si="13"/>
        <v>21470</v>
      </c>
      <c r="E14" s="2">
        <f t="shared" si="13"/>
        <v>27355</v>
      </c>
      <c r="F14" s="2">
        <f t="shared" si="13"/>
        <v>25637</v>
      </c>
      <c r="G14" s="2">
        <f t="shared" si="13"/>
        <v>28772</v>
      </c>
      <c r="H14" s="2">
        <f t="shared" si="13"/>
        <v>28452</v>
      </c>
      <c r="I14" s="2">
        <f t="shared" si="13"/>
        <v>32794</v>
      </c>
      <c r="J14" s="2">
        <f t="shared" si="13"/>
        <v>27213</v>
      </c>
      <c r="K14" s="2">
        <f t="shared" ref="K14:U14" si="14">+K12+K13</f>
        <v>28370</v>
      </c>
      <c r="L14" s="2">
        <f t="shared" si="14"/>
        <v>27429</v>
      </c>
      <c r="M14" s="2">
        <f t="shared" si="14"/>
        <v>31438</v>
      </c>
      <c r="N14" s="2">
        <f t="shared" si="14"/>
        <v>28306</v>
      </c>
      <c r="O14" s="2">
        <f t="shared" si="14"/>
        <v>31723</v>
      </c>
      <c r="P14" s="2">
        <f t="shared" si="14"/>
        <v>33936</v>
      </c>
      <c r="Q14" s="2">
        <f t="shared" si="14"/>
        <v>39040</v>
      </c>
      <c r="R14" s="2">
        <f t="shared" si="14"/>
        <v>36015</v>
      </c>
      <c r="S14" s="2">
        <f t="shared" si="14"/>
        <v>38718</v>
      </c>
      <c r="T14" s="2">
        <f t="shared" si="14"/>
        <v>40319</v>
      </c>
      <c r="U14" s="2">
        <f t="shared" si="14"/>
        <v>47303</v>
      </c>
      <c r="V14" s="2"/>
      <c r="W14" s="2"/>
      <c r="X14" s="2"/>
      <c r="Y14" s="2"/>
      <c r="Z14" s="2"/>
      <c r="AA14" s="2"/>
      <c r="AI14" s="5">
        <f t="shared" ref="AI14:AJ14" si="15">+SUM(AI12:AI13)</f>
        <v>85249</v>
      </c>
      <c r="AJ14" s="5">
        <f t="shared" si="15"/>
        <v>115655</v>
      </c>
      <c r="AK14" s="5">
        <f>+SUM(AK12:AK13)</f>
        <v>114450</v>
      </c>
      <c r="AL14" s="5">
        <f>+SUM(AL12:AL13)</f>
        <v>133005</v>
      </c>
      <c r="AM14" s="5">
        <v>162355</v>
      </c>
    </row>
    <row r="15" spans="1:49" s="5" customFormat="1">
      <c r="A15" s="2" t="s">
        <v>82</v>
      </c>
      <c r="E15" s="5">
        <v>717</v>
      </c>
      <c r="F15" s="5">
        <v>534</v>
      </c>
      <c r="G15" s="5">
        <v>305</v>
      </c>
      <c r="H15" s="5">
        <v>558</v>
      </c>
      <c r="I15" s="5">
        <f>2274-H15-G15-F15</f>
        <v>877</v>
      </c>
      <c r="J15" s="2">
        <v>695</v>
      </c>
      <c r="K15" s="2">
        <v>452</v>
      </c>
      <c r="L15" s="2">
        <v>285</v>
      </c>
      <c r="M15" s="2">
        <v>727</v>
      </c>
      <c r="N15" s="2">
        <v>339</v>
      </c>
      <c r="O15" s="2">
        <v>276</v>
      </c>
      <c r="P15" s="2">
        <v>210</v>
      </c>
      <c r="Q15" s="2">
        <v>1071</v>
      </c>
      <c r="R15" s="2">
        <v>440</v>
      </c>
      <c r="S15" s="5">
        <v>353</v>
      </c>
      <c r="T15" s="5">
        <v>270</v>
      </c>
      <c r="U15" s="5">
        <f>+AM15-SUM(R15:T15)</f>
        <v>1083</v>
      </c>
      <c r="AA15" s="16" t="s">
        <v>136</v>
      </c>
      <c r="AI15" s="5">
        <f>+SUM(B15:E15)</f>
        <v>717</v>
      </c>
      <c r="AJ15" s="5">
        <f>+SUM(F15:I15)</f>
        <v>2274</v>
      </c>
      <c r="AK15" s="5">
        <f>+SUM(J15:M15)</f>
        <v>2159</v>
      </c>
      <c r="AL15" s="5">
        <f>+SUM(N15:Q15)</f>
        <v>1896</v>
      </c>
      <c r="AM15" s="5">
        <v>2146</v>
      </c>
    </row>
    <row r="16" spans="1:49" s="9" customFormat="1">
      <c r="A16" s="9" t="s">
        <v>9</v>
      </c>
      <c r="B16" s="9">
        <v>17737</v>
      </c>
      <c r="C16" s="9">
        <v>18687</v>
      </c>
      <c r="D16" s="9">
        <v>21470</v>
      </c>
      <c r="E16" s="9">
        <f t="shared" ref="E16:R16" si="16">+E15+E14</f>
        <v>28072</v>
      </c>
      <c r="F16" s="9">
        <f t="shared" si="16"/>
        <v>26171</v>
      </c>
      <c r="G16" s="9">
        <f t="shared" si="16"/>
        <v>29077</v>
      </c>
      <c r="H16" s="9">
        <f t="shared" si="16"/>
        <v>29010</v>
      </c>
      <c r="I16" s="9">
        <f t="shared" si="16"/>
        <v>33671</v>
      </c>
      <c r="J16" s="9">
        <f t="shared" si="16"/>
        <v>27908</v>
      </c>
      <c r="K16" s="9">
        <f t="shared" si="16"/>
        <v>28822</v>
      </c>
      <c r="L16" s="9">
        <f t="shared" si="16"/>
        <v>27714</v>
      </c>
      <c r="M16" s="9">
        <f t="shared" si="16"/>
        <v>32165</v>
      </c>
      <c r="N16" s="9">
        <f t="shared" si="16"/>
        <v>28645</v>
      </c>
      <c r="O16" s="9">
        <f t="shared" si="16"/>
        <v>31999</v>
      </c>
      <c r="P16" s="9">
        <f t="shared" si="16"/>
        <v>34146</v>
      </c>
      <c r="Q16" s="9">
        <f t="shared" si="16"/>
        <v>40111</v>
      </c>
      <c r="R16" s="9">
        <f t="shared" si="16"/>
        <v>36455</v>
      </c>
      <c r="S16" s="9">
        <f>+S15+S14</f>
        <v>39071</v>
      </c>
      <c r="T16" s="9">
        <f>+T15+T14</f>
        <v>40589</v>
      </c>
      <c r="U16" s="9">
        <f>+U15+U14</f>
        <v>48386</v>
      </c>
      <c r="V16" s="19">
        <v>41800</v>
      </c>
      <c r="AA16" s="17">
        <f>(AL16/AH16)^(1/5)-1</f>
        <v>0.13794910030482033</v>
      </c>
      <c r="AB16" s="17">
        <v>0.1</v>
      </c>
      <c r="AC16" s="9">
        <v>12466</v>
      </c>
      <c r="AD16" s="9">
        <v>17928</v>
      </c>
      <c r="AE16" s="9">
        <v>27638</v>
      </c>
      <c r="AF16" s="9">
        <v>40653</v>
      </c>
      <c r="AG16" s="9">
        <v>55838</v>
      </c>
      <c r="AH16" s="9">
        <v>70697</v>
      </c>
      <c r="AI16" s="9">
        <f t="shared" ref="AI16:AL16" si="17">+AI14+AI15</f>
        <v>85966</v>
      </c>
      <c r="AJ16" s="9">
        <f t="shared" si="17"/>
        <v>117929</v>
      </c>
      <c r="AK16" s="9">
        <f t="shared" si="17"/>
        <v>116609</v>
      </c>
      <c r="AL16" s="9">
        <f t="shared" si="17"/>
        <v>134901</v>
      </c>
      <c r="AM16" s="9">
        <f>+AM14+AM15</f>
        <v>164501</v>
      </c>
      <c r="AN16" s="9">
        <f>+AM16*1.11</f>
        <v>182596.11000000002</v>
      </c>
      <c r="AO16" s="9">
        <f t="shared" ref="AO16:AW16" si="18">+AN16*1.11</f>
        <v>202681.68210000003</v>
      </c>
      <c r="AP16" s="9">
        <f t="shared" si="18"/>
        <v>224976.66713100005</v>
      </c>
      <c r="AQ16" s="9">
        <f t="shared" si="18"/>
        <v>249724.10051541007</v>
      </c>
      <c r="AR16" s="9">
        <f t="shared" si="18"/>
        <v>277193.75157210522</v>
      </c>
      <c r="AS16" s="9">
        <f t="shared" si="18"/>
        <v>307685.0642450368</v>
      </c>
      <c r="AT16" s="9">
        <f t="shared" si="18"/>
        <v>341530.42131199088</v>
      </c>
      <c r="AU16" s="9">
        <f t="shared" si="18"/>
        <v>379098.76765630994</v>
      </c>
      <c r="AV16" s="9">
        <f t="shared" si="18"/>
        <v>420799.63209850405</v>
      </c>
      <c r="AW16" s="9">
        <f t="shared" si="18"/>
        <v>467087.59162933956</v>
      </c>
    </row>
    <row r="17" spans="1:150">
      <c r="A17" s="2" t="s">
        <v>10</v>
      </c>
      <c r="B17" s="2">
        <v>3459</v>
      </c>
      <c r="C17" s="2">
        <v>3829</v>
      </c>
      <c r="D17" s="2">
        <v>4194</v>
      </c>
      <c r="E17" s="2">
        <f>+AI17-SUM(B17:D17)</f>
        <v>5210</v>
      </c>
      <c r="F17" s="2">
        <v>5131</v>
      </c>
      <c r="G17" s="2">
        <v>5399</v>
      </c>
      <c r="H17" s="2">
        <v>5771</v>
      </c>
      <c r="I17" s="2">
        <f>+AJ17-SUM(F17:H17)</f>
        <v>6348</v>
      </c>
      <c r="J17" s="2">
        <v>6005</v>
      </c>
      <c r="K17" s="2">
        <v>5192</v>
      </c>
      <c r="L17" s="2">
        <v>5716</v>
      </c>
      <c r="M17" s="2">
        <v>8336</v>
      </c>
      <c r="N17" s="2">
        <v>6108</v>
      </c>
      <c r="O17" s="2">
        <v>5945</v>
      </c>
      <c r="P17" s="2">
        <v>6210</v>
      </c>
      <c r="Q17" s="2">
        <v>7695</v>
      </c>
      <c r="R17" s="2">
        <v>6640</v>
      </c>
      <c r="S17" s="2">
        <v>7308</v>
      </c>
      <c r="T17" s="2">
        <v>7375</v>
      </c>
      <c r="U17" s="5">
        <f>+AM17-SUM(R17:T17)</f>
        <v>8838</v>
      </c>
      <c r="AA17" s="17">
        <f>(AL17/AH17)^(1/5)-1</f>
        <v>0.15244288831065722</v>
      </c>
      <c r="AB17" s="17">
        <v>0.11</v>
      </c>
      <c r="AC17" s="2">
        <v>2153</v>
      </c>
      <c r="AD17" s="2">
        <v>2867</v>
      </c>
      <c r="AE17" s="2">
        <v>3789</v>
      </c>
      <c r="AF17" s="2">
        <v>5454</v>
      </c>
      <c r="AG17" s="2">
        <v>9355</v>
      </c>
      <c r="AH17" s="2">
        <v>12770</v>
      </c>
      <c r="AI17" s="2">
        <v>16692</v>
      </c>
      <c r="AJ17" s="2">
        <v>22649</v>
      </c>
      <c r="AK17" s="2">
        <v>25249</v>
      </c>
      <c r="AL17" s="2">
        <v>25959</v>
      </c>
      <c r="AM17" s="2">
        <v>30161</v>
      </c>
      <c r="AN17" s="2">
        <f t="shared" ref="AN17:AW17" si="19">+AM17*1.09</f>
        <v>32875.490000000005</v>
      </c>
      <c r="AO17" s="2">
        <f t="shared" si="19"/>
        <v>35834.284100000012</v>
      </c>
      <c r="AP17" s="2">
        <f t="shared" si="19"/>
        <v>39059.369669000014</v>
      </c>
      <c r="AQ17" s="2">
        <f t="shared" si="19"/>
        <v>42574.712939210018</v>
      </c>
      <c r="AR17" s="2">
        <f t="shared" si="19"/>
        <v>46406.437103738921</v>
      </c>
      <c r="AS17" s="2">
        <f t="shared" si="19"/>
        <v>50583.01644307543</v>
      </c>
      <c r="AT17" s="2">
        <f t="shared" si="19"/>
        <v>55135.487922952227</v>
      </c>
      <c r="AU17" s="2">
        <f t="shared" si="19"/>
        <v>60097.681836017931</v>
      </c>
      <c r="AV17" s="2">
        <f t="shared" si="19"/>
        <v>65506.473201259549</v>
      </c>
      <c r="AW17" s="2">
        <f t="shared" si="19"/>
        <v>71402.055789372913</v>
      </c>
    </row>
    <row r="18" spans="1:150">
      <c r="A18" s="2" t="s">
        <v>11</v>
      </c>
      <c r="B18" s="2">
        <f t="shared" ref="B18:U18" si="20">+B16-B17</f>
        <v>14278</v>
      </c>
      <c r="C18" s="2">
        <f t="shared" si="20"/>
        <v>14858</v>
      </c>
      <c r="D18" s="2">
        <f t="shared" si="20"/>
        <v>17276</v>
      </c>
      <c r="E18" s="2">
        <f t="shared" si="20"/>
        <v>22862</v>
      </c>
      <c r="F18" s="2">
        <f t="shared" si="20"/>
        <v>21040</v>
      </c>
      <c r="G18" s="2">
        <f t="shared" si="20"/>
        <v>23678</v>
      </c>
      <c r="H18" s="2">
        <f t="shared" si="20"/>
        <v>23239</v>
      </c>
      <c r="I18" s="2">
        <f t="shared" si="20"/>
        <v>27323</v>
      </c>
      <c r="J18" s="2">
        <f t="shared" si="20"/>
        <v>21903</v>
      </c>
      <c r="K18" s="2">
        <f t="shared" si="20"/>
        <v>23630</v>
      </c>
      <c r="L18" s="2">
        <f t="shared" si="20"/>
        <v>21998</v>
      </c>
      <c r="M18" s="2">
        <f t="shared" si="20"/>
        <v>23829</v>
      </c>
      <c r="N18" s="2">
        <f t="shared" si="20"/>
        <v>22537</v>
      </c>
      <c r="O18" s="2">
        <f t="shared" si="20"/>
        <v>26054</v>
      </c>
      <c r="P18" s="2">
        <f t="shared" si="20"/>
        <v>27936</v>
      </c>
      <c r="Q18" s="2">
        <f t="shared" si="20"/>
        <v>32416</v>
      </c>
      <c r="R18" s="2">
        <f t="shared" si="20"/>
        <v>29815</v>
      </c>
      <c r="S18" s="2">
        <f t="shared" si="20"/>
        <v>31763</v>
      </c>
      <c r="T18" s="2">
        <f t="shared" si="20"/>
        <v>33214</v>
      </c>
      <c r="U18" s="2">
        <f t="shared" si="20"/>
        <v>39548</v>
      </c>
      <c r="AA18" s="17"/>
      <c r="AB18" s="17"/>
      <c r="AC18" s="2">
        <f t="shared" ref="AC18:AW18" si="21">+AC16-AC17</f>
        <v>10313</v>
      </c>
      <c r="AD18" s="2">
        <f t="shared" si="21"/>
        <v>15061</v>
      </c>
      <c r="AE18" s="2">
        <f t="shared" si="21"/>
        <v>23849</v>
      </c>
      <c r="AF18" s="2">
        <f t="shared" si="21"/>
        <v>35199</v>
      </c>
      <c r="AG18" s="2">
        <f t="shared" si="21"/>
        <v>46483</v>
      </c>
      <c r="AH18" s="2">
        <f t="shared" si="21"/>
        <v>57927</v>
      </c>
      <c r="AI18" s="2">
        <f t="shared" si="21"/>
        <v>69274</v>
      </c>
      <c r="AJ18" s="2">
        <f t="shared" si="21"/>
        <v>95280</v>
      </c>
      <c r="AK18" s="2">
        <f t="shared" si="21"/>
        <v>91360</v>
      </c>
      <c r="AL18" s="2">
        <f t="shared" si="21"/>
        <v>108942</v>
      </c>
      <c r="AM18" s="2">
        <f t="shared" si="21"/>
        <v>134340</v>
      </c>
      <c r="AN18" s="2">
        <f t="shared" si="21"/>
        <v>149720.62</v>
      </c>
      <c r="AO18" s="2">
        <f t="shared" si="21"/>
        <v>166847.39800000002</v>
      </c>
      <c r="AP18" s="2">
        <f t="shared" si="21"/>
        <v>185917.29746200005</v>
      </c>
      <c r="AQ18" s="2">
        <f t="shared" si="21"/>
        <v>207149.38757620007</v>
      </c>
      <c r="AR18" s="2">
        <f t="shared" si="21"/>
        <v>230787.3144683663</v>
      </c>
      <c r="AS18" s="2">
        <f t="shared" si="21"/>
        <v>257102.04780196137</v>
      </c>
      <c r="AT18" s="2">
        <f t="shared" si="21"/>
        <v>286394.93338903866</v>
      </c>
      <c r="AU18" s="2">
        <f t="shared" si="21"/>
        <v>319001.08582029201</v>
      </c>
      <c r="AV18" s="2">
        <f t="shared" si="21"/>
        <v>355293.15889724449</v>
      </c>
      <c r="AW18" s="2">
        <f t="shared" si="21"/>
        <v>395685.53583996661</v>
      </c>
    </row>
    <row r="19" spans="1:150">
      <c r="A19" s="2" t="s">
        <v>12</v>
      </c>
      <c r="B19" s="2">
        <v>4015</v>
      </c>
      <c r="C19" s="2">
        <v>4462</v>
      </c>
      <c r="D19" s="2">
        <v>4763</v>
      </c>
      <c r="E19" s="2">
        <f t="shared" ref="E19:E21" si="22">+AI19-SUM(B19:D19)</f>
        <v>5207</v>
      </c>
      <c r="F19" s="2">
        <v>5197</v>
      </c>
      <c r="G19" s="2">
        <v>6096</v>
      </c>
      <c r="H19" s="2">
        <v>6316</v>
      </c>
      <c r="I19" s="2">
        <f t="shared" ref="I19:I21" si="23">+AJ19-SUM(F19:H19)</f>
        <v>7046</v>
      </c>
      <c r="J19" s="2">
        <v>7707</v>
      </c>
      <c r="K19" s="2">
        <v>8690</v>
      </c>
      <c r="L19" s="2">
        <v>9170</v>
      </c>
      <c r="M19" s="2">
        <v>9771</v>
      </c>
      <c r="N19" s="2">
        <v>9381</v>
      </c>
      <c r="O19" s="2">
        <v>9344</v>
      </c>
      <c r="P19" s="2">
        <v>9241</v>
      </c>
      <c r="Q19" s="2">
        <v>10517</v>
      </c>
      <c r="R19" s="2">
        <v>9978</v>
      </c>
      <c r="S19" s="2">
        <v>10537</v>
      </c>
      <c r="T19" s="2">
        <v>11177</v>
      </c>
      <c r="U19" s="5">
        <f>+AM19-SUM(R19:T19)</f>
        <v>12181</v>
      </c>
      <c r="AA19" s="17">
        <f>(AL19/AH19)^(1/5)-1</f>
        <v>0.2312493166745957</v>
      </c>
      <c r="AB19" s="17">
        <v>0.2</v>
      </c>
      <c r="AC19" s="2">
        <v>2666</v>
      </c>
      <c r="AD19" s="2">
        <v>4816</v>
      </c>
      <c r="AE19" s="2">
        <v>5919</v>
      </c>
      <c r="AF19" s="2">
        <v>7754</v>
      </c>
      <c r="AG19" s="2">
        <v>10273</v>
      </c>
      <c r="AH19" s="2">
        <v>13600</v>
      </c>
      <c r="AI19" s="2">
        <v>18447</v>
      </c>
      <c r="AJ19" s="2">
        <v>24655</v>
      </c>
      <c r="AK19" s="2">
        <v>35338</v>
      </c>
      <c r="AL19" s="2">
        <v>38483</v>
      </c>
      <c r="AM19" s="2">
        <v>43873</v>
      </c>
      <c r="AN19" s="2">
        <f t="shared" ref="AN19:AQ19" si="24">+AM19*1.2</f>
        <v>52647.6</v>
      </c>
      <c r="AO19" s="2">
        <f t="shared" si="24"/>
        <v>63177.119999999995</v>
      </c>
      <c r="AP19" s="2">
        <f t="shared" si="24"/>
        <v>75812.543999999994</v>
      </c>
      <c r="AQ19" s="2">
        <f t="shared" si="24"/>
        <v>90975.05279999999</v>
      </c>
      <c r="AR19" s="2">
        <f t="shared" ref="AR19:AV19" si="25">+AQ19*1.15</f>
        <v>104621.31071999998</v>
      </c>
      <c r="AS19" s="2">
        <f t="shared" si="25"/>
        <v>120314.50732799996</v>
      </c>
      <c r="AT19" s="2">
        <f t="shared" si="25"/>
        <v>138361.68342719995</v>
      </c>
      <c r="AU19" s="2">
        <f t="shared" si="25"/>
        <v>159115.93594127992</v>
      </c>
      <c r="AV19" s="2">
        <f t="shared" si="25"/>
        <v>182983.32633247189</v>
      </c>
      <c r="AW19" s="2">
        <f>+AV19*1.1</f>
        <v>201281.65896571908</v>
      </c>
    </row>
    <row r="20" spans="1:150">
      <c r="A20" s="2" t="s">
        <v>13</v>
      </c>
      <c r="B20" s="2">
        <v>2787</v>
      </c>
      <c r="C20" s="2">
        <v>2840</v>
      </c>
      <c r="D20" s="2">
        <v>2683</v>
      </c>
      <c r="E20" s="2">
        <f t="shared" si="22"/>
        <v>3281</v>
      </c>
      <c r="F20" s="2">
        <v>2843</v>
      </c>
      <c r="G20" s="2">
        <v>3259</v>
      </c>
      <c r="H20" s="2">
        <v>3554</v>
      </c>
      <c r="I20" s="2">
        <f t="shared" si="23"/>
        <v>4387</v>
      </c>
      <c r="J20" s="2">
        <v>3312</v>
      </c>
      <c r="K20" s="2">
        <v>3595</v>
      </c>
      <c r="L20" s="2">
        <v>3780</v>
      </c>
      <c r="M20" s="2">
        <v>4574</v>
      </c>
      <c r="N20" s="2">
        <v>3044</v>
      </c>
      <c r="O20" s="2">
        <v>3154</v>
      </c>
      <c r="P20" s="2">
        <v>2877</v>
      </c>
      <c r="Q20" s="2">
        <v>3226</v>
      </c>
      <c r="R20" s="2">
        <v>2564</v>
      </c>
      <c r="S20" s="2">
        <v>2721</v>
      </c>
      <c r="T20" s="2">
        <v>2822</v>
      </c>
      <c r="U20" s="5">
        <f>+AM20-SUM(R20:T20)</f>
        <v>3240</v>
      </c>
      <c r="AA20" s="17">
        <f>(AL20/AH20)^(1/5)-1</f>
        <v>4.4893114782463828E-2</v>
      </c>
      <c r="AB20" s="17">
        <v>0.05</v>
      </c>
      <c r="AC20" s="2">
        <v>1680</v>
      </c>
      <c r="AD20" s="2">
        <v>2725</v>
      </c>
      <c r="AE20" s="2">
        <v>3772</v>
      </c>
      <c r="AF20" s="2">
        <v>4725</v>
      </c>
      <c r="AG20" s="2">
        <v>7846</v>
      </c>
      <c r="AH20" s="2">
        <v>9876</v>
      </c>
      <c r="AI20" s="2">
        <v>11591</v>
      </c>
      <c r="AJ20" s="2">
        <v>14043</v>
      </c>
      <c r="AK20" s="2">
        <v>15262</v>
      </c>
      <c r="AL20" s="2">
        <v>12301</v>
      </c>
      <c r="AM20" s="2">
        <v>11347</v>
      </c>
      <c r="AN20" s="2">
        <f t="shared" ref="AN20:AW20" si="26">+AM20*1.04</f>
        <v>11800.880000000001</v>
      </c>
      <c r="AO20" s="2">
        <f t="shared" si="26"/>
        <v>12272.915200000001</v>
      </c>
      <c r="AP20" s="2">
        <f t="shared" si="26"/>
        <v>12763.831808000003</v>
      </c>
      <c r="AQ20" s="2">
        <f t="shared" si="26"/>
        <v>13274.385080320004</v>
      </c>
      <c r="AR20" s="2">
        <f t="shared" si="26"/>
        <v>13805.360483532804</v>
      </c>
      <c r="AS20" s="2">
        <f t="shared" si="26"/>
        <v>14357.574902874117</v>
      </c>
      <c r="AT20" s="2">
        <f t="shared" si="26"/>
        <v>14931.877898989083</v>
      </c>
      <c r="AU20" s="2">
        <f t="shared" si="26"/>
        <v>15529.153014948648</v>
      </c>
      <c r="AV20" s="2">
        <f t="shared" si="26"/>
        <v>16150.319135546595</v>
      </c>
      <c r="AW20" s="2">
        <f t="shared" si="26"/>
        <v>16796.33190096846</v>
      </c>
    </row>
    <row r="21" spans="1:150">
      <c r="A21" s="2" t="s">
        <v>14</v>
      </c>
      <c r="B21" s="2">
        <v>1583</v>
      </c>
      <c r="C21" s="2">
        <v>1593</v>
      </c>
      <c r="D21" s="2">
        <v>1790</v>
      </c>
      <c r="E21" s="2">
        <f t="shared" si="22"/>
        <v>1598</v>
      </c>
      <c r="F21" s="2">
        <v>1622</v>
      </c>
      <c r="G21" s="2">
        <v>1956</v>
      </c>
      <c r="H21" s="2">
        <v>2946</v>
      </c>
      <c r="I21" s="2">
        <f t="shared" si="23"/>
        <v>3305</v>
      </c>
      <c r="J21" s="2">
        <v>2360</v>
      </c>
      <c r="K21" s="2">
        <v>2987</v>
      </c>
      <c r="L21" s="2">
        <v>3384</v>
      </c>
      <c r="M21" s="2">
        <v>3085</v>
      </c>
      <c r="N21" s="2">
        <v>2885</v>
      </c>
      <c r="O21" s="2">
        <v>4164</v>
      </c>
      <c r="P21" s="2">
        <v>2070</v>
      </c>
      <c r="Q21" s="2">
        <v>2289</v>
      </c>
      <c r="R21" s="2">
        <v>3455</v>
      </c>
      <c r="S21" s="2">
        <v>3658</v>
      </c>
      <c r="T21" s="2">
        <v>1865</v>
      </c>
      <c r="U21" s="5">
        <f>+AM21-SUM(R21:T21)</f>
        <v>762</v>
      </c>
      <c r="AA21" s="17">
        <f>(AL21/AH21)^(1/5)-1</f>
        <v>1.740544122059795E-2</v>
      </c>
      <c r="AB21" s="17">
        <v>0.05</v>
      </c>
      <c r="AC21" s="2">
        <v>973</v>
      </c>
      <c r="AD21" s="2">
        <v>1295</v>
      </c>
      <c r="AE21" s="2">
        <v>1731</v>
      </c>
      <c r="AF21" s="2">
        <v>2517</v>
      </c>
      <c r="AG21" s="2">
        <v>3451</v>
      </c>
      <c r="AH21" s="2">
        <v>10465</v>
      </c>
      <c r="AI21" s="2">
        <v>6564</v>
      </c>
      <c r="AJ21" s="2">
        <v>9829</v>
      </c>
      <c r="AK21" s="2">
        <v>11816</v>
      </c>
      <c r="AL21" s="2">
        <v>11408</v>
      </c>
      <c r="AM21" s="2">
        <v>9740</v>
      </c>
      <c r="AN21" s="2">
        <f t="shared" ref="AN21:AW21" si="27">+AM21*1.02</f>
        <v>9934.7999999999993</v>
      </c>
      <c r="AO21" s="2">
        <f t="shared" si="27"/>
        <v>10133.495999999999</v>
      </c>
      <c r="AP21" s="2">
        <f t="shared" si="27"/>
        <v>10336.165919999999</v>
      </c>
      <c r="AQ21" s="2">
        <f t="shared" si="27"/>
        <v>10542.889238399999</v>
      </c>
      <c r="AR21" s="2">
        <f t="shared" si="27"/>
        <v>10753.747023168</v>
      </c>
      <c r="AS21" s="2">
        <f t="shared" si="27"/>
        <v>10968.821963631361</v>
      </c>
      <c r="AT21" s="2">
        <f t="shared" si="27"/>
        <v>11188.198402903989</v>
      </c>
      <c r="AU21" s="2">
        <f t="shared" si="27"/>
        <v>11411.962370962068</v>
      </c>
      <c r="AV21" s="2">
        <f t="shared" si="27"/>
        <v>11640.20161838131</v>
      </c>
      <c r="AW21" s="2">
        <f t="shared" si="27"/>
        <v>11873.005650748937</v>
      </c>
    </row>
    <row r="22" spans="1:150">
      <c r="A22" s="2" t="s">
        <v>15</v>
      </c>
      <c r="B22" s="2">
        <f t="shared" ref="B22:D22" si="28">+SUM(B19:B21)</f>
        <v>8385</v>
      </c>
      <c r="C22" s="2">
        <f t="shared" si="28"/>
        <v>8895</v>
      </c>
      <c r="D22" s="2">
        <f t="shared" si="28"/>
        <v>9236</v>
      </c>
      <c r="E22" s="2">
        <f t="shared" ref="E22" si="29">+SUM(E19:E21)</f>
        <v>10086</v>
      </c>
      <c r="F22" s="2">
        <f t="shared" ref="F22:H22" si="30">+SUM(F19:F21)</f>
        <v>9662</v>
      </c>
      <c r="G22" s="2">
        <f t="shared" si="30"/>
        <v>11311</v>
      </c>
      <c r="H22" s="2">
        <f t="shared" si="30"/>
        <v>12816</v>
      </c>
      <c r="I22" s="2">
        <f t="shared" ref="I22" si="31">+SUM(I19:I21)</f>
        <v>14738</v>
      </c>
      <c r="J22" s="2">
        <f t="shared" ref="J22:R22" si="32">+SUM(J19:J21)</f>
        <v>13379</v>
      </c>
      <c r="K22" s="2">
        <f t="shared" si="32"/>
        <v>15272</v>
      </c>
      <c r="L22" s="2">
        <f t="shared" si="32"/>
        <v>16334</v>
      </c>
      <c r="M22" s="2">
        <f t="shared" si="32"/>
        <v>17430</v>
      </c>
      <c r="N22" s="2">
        <f t="shared" si="32"/>
        <v>15310</v>
      </c>
      <c r="O22" s="2">
        <f t="shared" si="32"/>
        <v>16662</v>
      </c>
      <c r="P22" s="2">
        <f t="shared" si="32"/>
        <v>14188</v>
      </c>
      <c r="Q22" s="2">
        <f t="shared" si="32"/>
        <v>16032</v>
      </c>
      <c r="R22" s="2">
        <f t="shared" si="32"/>
        <v>15997</v>
      </c>
      <c r="S22" s="2">
        <f t="shared" ref="S22:T22" si="33">+SUM(S19:S21)</f>
        <v>16916</v>
      </c>
      <c r="T22" s="2">
        <f t="shared" si="33"/>
        <v>15864</v>
      </c>
      <c r="U22" s="2">
        <f t="shared" ref="U22" si="34">+SUM(U19:U21)</f>
        <v>16183</v>
      </c>
      <c r="AA22" s="17"/>
      <c r="AB22" s="17"/>
      <c r="AC22" s="2">
        <f t="shared" ref="AC22:AI22" si="35">+SUM(AC19:AC21)</f>
        <v>5319</v>
      </c>
      <c r="AD22" s="2">
        <f t="shared" si="35"/>
        <v>8836</v>
      </c>
      <c r="AE22" s="2">
        <f t="shared" si="35"/>
        <v>11422</v>
      </c>
      <c r="AF22" s="2">
        <f t="shared" si="35"/>
        <v>14996</v>
      </c>
      <c r="AG22" s="2">
        <f t="shared" si="35"/>
        <v>21570</v>
      </c>
      <c r="AH22" s="2">
        <f t="shared" si="35"/>
        <v>33941</v>
      </c>
      <c r="AI22" s="2">
        <f t="shared" si="35"/>
        <v>36602</v>
      </c>
      <c r="AJ22" s="2">
        <f>+SUM(AJ19:AJ21)</f>
        <v>48527</v>
      </c>
      <c r="AK22" s="2">
        <f>+SUM(AK19:AK21)</f>
        <v>62416</v>
      </c>
      <c r="AL22" s="2">
        <f>+SUM(AL19:AL21)</f>
        <v>62192</v>
      </c>
      <c r="AM22" s="2">
        <f t="shared" ref="AM22:AW22" si="36">+SUM(AM19:AM21)</f>
        <v>64960</v>
      </c>
      <c r="AN22" s="18">
        <f t="shared" si="36"/>
        <v>74383.28</v>
      </c>
      <c r="AO22" s="2">
        <f t="shared" si="36"/>
        <v>85583.531199999998</v>
      </c>
      <c r="AP22" s="2">
        <f t="shared" si="36"/>
        <v>98912.541727999997</v>
      </c>
      <c r="AQ22" s="2">
        <f t="shared" si="36"/>
        <v>114792.32711871999</v>
      </c>
      <c r="AR22" s="2">
        <f t="shared" si="36"/>
        <v>129180.41822670079</v>
      </c>
      <c r="AS22" s="2">
        <f t="shared" si="36"/>
        <v>145640.90419450545</v>
      </c>
      <c r="AT22" s="2">
        <f t="shared" si="36"/>
        <v>164481.759729093</v>
      </c>
      <c r="AU22" s="2">
        <f>+SUM(AU19:AU21)</f>
        <v>186057.05132719065</v>
      </c>
      <c r="AV22" s="2">
        <f t="shared" si="36"/>
        <v>210773.84708639979</v>
      </c>
      <c r="AW22" s="2">
        <f t="shared" si="36"/>
        <v>229950.99651743646</v>
      </c>
    </row>
    <row r="23" spans="1:150">
      <c r="A23" s="2" t="s">
        <v>16</v>
      </c>
      <c r="B23" s="2">
        <f t="shared" ref="B23:D23" si="37">+B18-B22</f>
        <v>5893</v>
      </c>
      <c r="C23" s="2">
        <f t="shared" si="37"/>
        <v>5963</v>
      </c>
      <c r="D23" s="2">
        <f t="shared" si="37"/>
        <v>8040</v>
      </c>
      <c r="E23" s="2">
        <f t="shared" ref="E23" si="38">+E18-E22</f>
        <v>12776</v>
      </c>
      <c r="F23" s="2">
        <f t="shared" ref="F23:H23" si="39">+F18-F22</f>
        <v>11378</v>
      </c>
      <c r="G23" s="2">
        <f t="shared" si="39"/>
        <v>12367</v>
      </c>
      <c r="H23" s="2">
        <f t="shared" si="39"/>
        <v>10423</v>
      </c>
      <c r="I23" s="2">
        <f t="shared" ref="I23" si="40">+I18-I22</f>
        <v>12585</v>
      </c>
      <c r="J23" s="2">
        <f t="shared" ref="J23:R23" si="41">+J18-J22</f>
        <v>8524</v>
      </c>
      <c r="K23" s="2">
        <f t="shared" si="41"/>
        <v>8358</v>
      </c>
      <c r="L23" s="2">
        <f t="shared" si="41"/>
        <v>5664</v>
      </c>
      <c r="M23" s="2">
        <f t="shared" si="41"/>
        <v>6399</v>
      </c>
      <c r="N23" s="2">
        <f t="shared" si="41"/>
        <v>7227</v>
      </c>
      <c r="O23" s="2">
        <f t="shared" si="41"/>
        <v>9392</v>
      </c>
      <c r="P23" s="2">
        <f t="shared" si="41"/>
        <v>13748</v>
      </c>
      <c r="Q23" s="2">
        <f t="shared" si="41"/>
        <v>16384</v>
      </c>
      <c r="R23" s="2">
        <f t="shared" si="41"/>
        <v>13818</v>
      </c>
      <c r="S23" s="2">
        <f t="shared" ref="S23:T23" si="42">+S18-S22</f>
        <v>14847</v>
      </c>
      <c r="T23" s="2">
        <f t="shared" si="42"/>
        <v>17350</v>
      </c>
      <c r="U23" s="2">
        <f t="shared" ref="U23" si="43">+U18-U22</f>
        <v>23365</v>
      </c>
      <c r="AA23" s="17"/>
      <c r="AB23" s="17"/>
      <c r="AC23" s="2">
        <f t="shared" ref="AC23:AW23" si="44">+AC18-AC22</f>
        <v>4994</v>
      </c>
      <c r="AD23" s="2">
        <f t="shared" si="44"/>
        <v>6225</v>
      </c>
      <c r="AE23" s="2">
        <f t="shared" si="44"/>
        <v>12427</v>
      </c>
      <c r="AF23" s="2">
        <f t="shared" si="44"/>
        <v>20203</v>
      </c>
      <c r="AG23" s="2">
        <f t="shared" si="44"/>
        <v>24913</v>
      </c>
      <c r="AH23" s="2">
        <f t="shared" si="44"/>
        <v>23986</v>
      </c>
      <c r="AI23" s="2">
        <f t="shared" si="44"/>
        <v>32672</v>
      </c>
      <c r="AJ23" s="2">
        <f t="shared" si="44"/>
        <v>46753</v>
      </c>
      <c r="AK23" s="2">
        <f t="shared" si="44"/>
        <v>28944</v>
      </c>
      <c r="AL23" s="2">
        <f t="shared" si="44"/>
        <v>46750</v>
      </c>
      <c r="AM23" s="2">
        <f t="shared" si="44"/>
        <v>69380</v>
      </c>
      <c r="AN23" s="2">
        <f t="shared" si="44"/>
        <v>75337.34</v>
      </c>
      <c r="AO23" s="2">
        <f t="shared" si="44"/>
        <v>81263.866800000018</v>
      </c>
      <c r="AP23" s="2">
        <f t="shared" si="44"/>
        <v>87004.755734000049</v>
      </c>
      <c r="AQ23" s="2">
        <f t="shared" si="44"/>
        <v>92357.060457480082</v>
      </c>
      <c r="AR23" s="2">
        <f t="shared" si="44"/>
        <v>101606.89624166551</v>
      </c>
      <c r="AS23" s="2">
        <f t="shared" si="44"/>
        <v>111461.14360745592</v>
      </c>
      <c r="AT23" s="2">
        <f t="shared" si="44"/>
        <v>121913.17365994566</v>
      </c>
      <c r="AU23" s="2">
        <f t="shared" si="44"/>
        <v>132944.03449310135</v>
      </c>
      <c r="AV23" s="2">
        <f t="shared" si="44"/>
        <v>144519.31181084469</v>
      </c>
      <c r="AW23" s="2">
        <f t="shared" si="44"/>
        <v>165734.53932253015</v>
      </c>
    </row>
    <row r="24" spans="1:150">
      <c r="A24" s="2" t="s">
        <v>17</v>
      </c>
      <c r="B24" s="2">
        <v>-32</v>
      </c>
      <c r="C24" s="2">
        <v>168</v>
      </c>
      <c r="D24" s="2">
        <v>93</v>
      </c>
      <c r="E24" s="2">
        <f t="shared" ref="E24:E26" si="45">+AI24-SUM(B24:D24)</f>
        <v>280</v>
      </c>
      <c r="F24" s="2">
        <v>125</v>
      </c>
      <c r="G24" s="2">
        <v>146</v>
      </c>
      <c r="H24" s="2">
        <v>142</v>
      </c>
      <c r="I24" s="2">
        <f t="shared" ref="I24:I26" si="46">+AJ24-SUM(F24:H24)</f>
        <v>118</v>
      </c>
      <c r="J24" s="2">
        <v>384</v>
      </c>
      <c r="K24" s="2">
        <v>-172</v>
      </c>
      <c r="L24" s="2">
        <v>-88</v>
      </c>
      <c r="M24" s="2">
        <v>-250</v>
      </c>
      <c r="N24" s="2">
        <v>80</v>
      </c>
      <c r="O24" s="2">
        <v>-99</v>
      </c>
      <c r="P24" s="2">
        <v>272</v>
      </c>
      <c r="Q24" s="2">
        <v>424</v>
      </c>
      <c r="R24" s="2">
        <v>365</v>
      </c>
      <c r="S24" s="2">
        <v>259</v>
      </c>
      <c r="T24" s="2">
        <v>472</v>
      </c>
      <c r="U24" s="5">
        <f>+AM24-SUM(R24:T24)</f>
        <v>187</v>
      </c>
      <c r="AA24" s="17"/>
      <c r="AB24" s="17"/>
      <c r="AC24" s="2">
        <v>-84</v>
      </c>
      <c r="AD24" s="2">
        <v>-31</v>
      </c>
      <c r="AE24" s="2">
        <v>91</v>
      </c>
      <c r="AF24" s="2">
        <v>391</v>
      </c>
      <c r="AG24" s="2">
        <v>448</v>
      </c>
      <c r="AH24" s="2">
        <v>826</v>
      </c>
      <c r="AI24" s="2">
        <v>509</v>
      </c>
      <c r="AJ24" s="2">
        <v>531</v>
      </c>
      <c r="AK24" s="2">
        <v>-125</v>
      </c>
      <c r="AL24" s="2">
        <v>677</v>
      </c>
      <c r="AM24" s="2">
        <v>1283</v>
      </c>
      <c r="AN24" s="2">
        <f t="shared" ref="AN24:AW24" si="47">+AM40*0.04</f>
        <v>1959.56</v>
      </c>
      <c r="AO24" s="2">
        <f t="shared" si="47"/>
        <v>4433.0607999999993</v>
      </c>
      <c r="AP24" s="2">
        <f t="shared" si="47"/>
        <v>7175.3624832000005</v>
      </c>
      <c r="AQ24" s="2">
        <f t="shared" si="47"/>
        <v>10189.126266150402</v>
      </c>
      <c r="AR24" s="2">
        <f t="shared" si="47"/>
        <v>13470.604241306577</v>
      </c>
      <c r="AS24" s="2">
        <f t="shared" si="47"/>
        <v>17153.084256761686</v>
      </c>
      <c r="AT24" s="2">
        <f t="shared" si="47"/>
        <v>21268.739548416645</v>
      </c>
      <c r="AU24" s="2">
        <f t="shared" si="47"/>
        <v>25850.560771084238</v>
      </c>
      <c r="AV24" s="2">
        <f t="shared" si="47"/>
        <v>30931.987819538179</v>
      </c>
      <c r="AW24" s="2">
        <f t="shared" si="47"/>
        <v>36546.429407710428</v>
      </c>
    </row>
    <row r="25" spans="1:150">
      <c r="A25" s="2" t="s">
        <v>18</v>
      </c>
      <c r="B25" s="2">
        <f t="shared" ref="B25:E25" si="48">+B23+B24</f>
        <v>5861</v>
      </c>
      <c r="C25" s="2">
        <f t="shared" si="48"/>
        <v>6131</v>
      </c>
      <c r="D25" s="2">
        <f t="shared" si="48"/>
        <v>8133</v>
      </c>
      <c r="E25" s="2">
        <f t="shared" si="48"/>
        <v>13056</v>
      </c>
      <c r="F25" s="2">
        <f t="shared" ref="F25:I25" si="49">+F23+F24</f>
        <v>11503</v>
      </c>
      <c r="G25" s="2">
        <f t="shared" si="49"/>
        <v>12513</v>
      </c>
      <c r="H25" s="2">
        <f t="shared" si="49"/>
        <v>10565</v>
      </c>
      <c r="I25" s="2">
        <f t="shared" si="49"/>
        <v>12703</v>
      </c>
      <c r="J25" s="2">
        <f t="shared" ref="J25:R25" si="50">+J23+J24</f>
        <v>8908</v>
      </c>
      <c r="K25" s="2">
        <f t="shared" si="50"/>
        <v>8186</v>
      </c>
      <c r="L25" s="2">
        <f t="shared" si="50"/>
        <v>5576</v>
      </c>
      <c r="M25" s="2">
        <f t="shared" si="50"/>
        <v>6149</v>
      </c>
      <c r="N25" s="2">
        <f t="shared" si="50"/>
        <v>7307</v>
      </c>
      <c r="O25" s="2">
        <f t="shared" si="50"/>
        <v>9293</v>
      </c>
      <c r="P25" s="2">
        <f t="shared" si="50"/>
        <v>14020</v>
      </c>
      <c r="Q25" s="2">
        <f t="shared" si="50"/>
        <v>16808</v>
      </c>
      <c r="R25" s="2">
        <f t="shared" si="50"/>
        <v>14183</v>
      </c>
      <c r="S25" s="2">
        <f t="shared" ref="S25:U25" si="51">+S23+S24</f>
        <v>15106</v>
      </c>
      <c r="T25" s="2">
        <f t="shared" si="51"/>
        <v>17822</v>
      </c>
      <c r="U25" s="2">
        <f t="shared" si="51"/>
        <v>23552</v>
      </c>
      <c r="AA25" s="17"/>
      <c r="AB25" s="17"/>
      <c r="AC25" s="2">
        <f t="shared" ref="AC25:AL25" si="52">+AC23+AC24</f>
        <v>4910</v>
      </c>
      <c r="AD25" s="2">
        <f t="shared" si="52"/>
        <v>6194</v>
      </c>
      <c r="AE25" s="2">
        <f t="shared" si="52"/>
        <v>12518</v>
      </c>
      <c r="AF25" s="2">
        <f t="shared" si="52"/>
        <v>20594</v>
      </c>
      <c r="AG25" s="2">
        <f t="shared" si="52"/>
        <v>25361</v>
      </c>
      <c r="AH25" s="2">
        <f t="shared" si="52"/>
        <v>24812</v>
      </c>
      <c r="AI25" s="2">
        <f t="shared" si="52"/>
        <v>33181</v>
      </c>
      <c r="AJ25" s="2">
        <f t="shared" si="52"/>
        <v>47284</v>
      </c>
      <c r="AK25" s="2">
        <f t="shared" si="52"/>
        <v>28819</v>
      </c>
      <c r="AL25" s="2">
        <f t="shared" si="52"/>
        <v>47427</v>
      </c>
      <c r="AM25" s="2">
        <f>+AM23+AM24</f>
        <v>70663</v>
      </c>
      <c r="AN25" s="2">
        <f t="shared" ref="AN25:AW25" si="53">+AN23+AN24</f>
        <v>77296.899999999994</v>
      </c>
      <c r="AO25" s="2">
        <f t="shared" si="53"/>
        <v>85696.927600000025</v>
      </c>
      <c r="AP25" s="2">
        <f t="shared" si="53"/>
        <v>94180.118217200055</v>
      </c>
      <c r="AQ25" s="2">
        <f t="shared" si="53"/>
        <v>102546.18672363048</v>
      </c>
      <c r="AR25" s="2">
        <f t="shared" si="53"/>
        <v>115077.50048297209</v>
      </c>
      <c r="AS25" s="2">
        <f t="shared" si="53"/>
        <v>128614.2278642176</v>
      </c>
      <c r="AT25" s="2">
        <f t="shared" si="53"/>
        <v>143181.9132083623</v>
      </c>
      <c r="AU25" s="2">
        <f t="shared" si="53"/>
        <v>158794.5952641856</v>
      </c>
      <c r="AV25" s="2">
        <f t="shared" si="53"/>
        <v>175451.29963038288</v>
      </c>
      <c r="AW25" s="2">
        <f t="shared" si="53"/>
        <v>202280.96873024059</v>
      </c>
    </row>
    <row r="26" spans="1:150">
      <c r="A26" s="2" t="s">
        <v>19</v>
      </c>
      <c r="B26" s="2">
        <v>959</v>
      </c>
      <c r="C26" s="2">
        <v>953</v>
      </c>
      <c r="D26" s="2">
        <v>287</v>
      </c>
      <c r="E26" s="2">
        <f t="shared" si="45"/>
        <v>1835</v>
      </c>
      <c r="F26" s="2">
        <v>2006</v>
      </c>
      <c r="G26" s="2">
        <v>2119</v>
      </c>
      <c r="H26" s="2">
        <v>1371</v>
      </c>
      <c r="I26" s="2">
        <f t="shared" si="46"/>
        <v>2418</v>
      </c>
      <c r="J26" s="2">
        <v>1443</v>
      </c>
      <c r="K26" s="2">
        <v>1499</v>
      </c>
      <c r="L26" s="2">
        <v>1181</v>
      </c>
      <c r="M26" s="2">
        <v>1497</v>
      </c>
      <c r="N26" s="2">
        <v>1598</v>
      </c>
      <c r="O26" s="2">
        <v>1505</v>
      </c>
      <c r="P26" s="2">
        <v>2437</v>
      </c>
      <c r="Q26" s="2">
        <v>2791</v>
      </c>
      <c r="R26" s="2">
        <v>1814</v>
      </c>
      <c r="S26" s="2">
        <v>1641</v>
      </c>
      <c r="T26" s="2">
        <v>2134</v>
      </c>
      <c r="U26" s="5">
        <f>+AM26-SUM(R26:T26)</f>
        <v>2714</v>
      </c>
      <c r="AA26" s="17"/>
      <c r="AB26" s="17"/>
      <c r="AC26" s="2">
        <v>1970</v>
      </c>
      <c r="AD26" s="2">
        <v>2506</v>
      </c>
      <c r="AE26" s="2">
        <v>2301</v>
      </c>
      <c r="AF26" s="2">
        <v>4660</v>
      </c>
      <c r="AG26" s="2">
        <v>3249</v>
      </c>
      <c r="AH26" s="2">
        <v>6327</v>
      </c>
      <c r="AI26" s="2">
        <v>4034</v>
      </c>
      <c r="AJ26" s="2">
        <v>7914</v>
      </c>
      <c r="AK26" s="2">
        <v>5619</v>
      </c>
      <c r="AL26" s="2">
        <v>8330</v>
      </c>
      <c r="AM26" s="2">
        <v>8303</v>
      </c>
      <c r="AN26" s="18">
        <f t="shared" ref="AN26:AW26" si="54">+AN25*0.2</f>
        <v>15459.38</v>
      </c>
      <c r="AO26" s="2">
        <f t="shared" si="54"/>
        <v>17139.385520000007</v>
      </c>
      <c r="AP26" s="2">
        <f t="shared" si="54"/>
        <v>18836.02364344001</v>
      </c>
      <c r="AQ26" s="2">
        <f t="shared" si="54"/>
        <v>20509.237344726098</v>
      </c>
      <c r="AR26" s="2">
        <f t="shared" si="54"/>
        <v>23015.50009659442</v>
      </c>
      <c r="AS26" s="2">
        <f t="shared" si="54"/>
        <v>25722.845572843522</v>
      </c>
      <c r="AT26" s="2">
        <f t="shared" si="54"/>
        <v>28636.382641672462</v>
      </c>
      <c r="AU26" s="2">
        <f t="shared" si="54"/>
        <v>31758.919052837122</v>
      </c>
      <c r="AV26" s="2">
        <f t="shared" si="54"/>
        <v>35090.259926076578</v>
      </c>
      <c r="AW26" s="2">
        <f t="shared" si="54"/>
        <v>40456.19374604812</v>
      </c>
    </row>
    <row r="27" spans="1:150" s="9" customFormat="1">
      <c r="A27" s="9" t="s">
        <v>20</v>
      </c>
      <c r="B27" s="9">
        <f t="shared" ref="B27:E27" si="55">+B25-B26</f>
        <v>4902</v>
      </c>
      <c r="C27" s="9">
        <f t="shared" si="55"/>
        <v>5178</v>
      </c>
      <c r="D27" s="9">
        <f t="shared" si="55"/>
        <v>7846</v>
      </c>
      <c r="E27" s="9">
        <f t="shared" si="55"/>
        <v>11221</v>
      </c>
      <c r="F27" s="9">
        <f t="shared" ref="F27:I27" si="56">+F25-F26</f>
        <v>9497</v>
      </c>
      <c r="G27" s="9">
        <f t="shared" si="56"/>
        <v>10394</v>
      </c>
      <c r="H27" s="9">
        <f t="shared" si="56"/>
        <v>9194</v>
      </c>
      <c r="I27" s="9">
        <f t="shared" si="56"/>
        <v>10285</v>
      </c>
      <c r="J27" s="9">
        <f t="shared" ref="J27:R27" si="57">+J25-J26</f>
        <v>7465</v>
      </c>
      <c r="K27" s="9">
        <f t="shared" si="57"/>
        <v>6687</v>
      </c>
      <c r="L27" s="9">
        <f t="shared" si="57"/>
        <v>4395</v>
      </c>
      <c r="M27" s="9">
        <f t="shared" si="57"/>
        <v>4652</v>
      </c>
      <c r="N27" s="9">
        <f t="shared" si="57"/>
        <v>5709</v>
      </c>
      <c r="O27" s="9">
        <f t="shared" si="57"/>
        <v>7788</v>
      </c>
      <c r="P27" s="9">
        <f t="shared" si="57"/>
        <v>11583</v>
      </c>
      <c r="Q27" s="9">
        <f t="shared" si="57"/>
        <v>14017</v>
      </c>
      <c r="R27" s="9">
        <f t="shared" si="57"/>
        <v>12369</v>
      </c>
      <c r="S27" s="9">
        <f t="shared" ref="S27:T27" si="58">+S25-S26</f>
        <v>13465</v>
      </c>
      <c r="T27" s="9">
        <f t="shared" si="58"/>
        <v>15688</v>
      </c>
      <c r="U27" s="9">
        <f>+U16*0.4</f>
        <v>19354.400000000001</v>
      </c>
      <c r="AA27" s="17"/>
      <c r="AB27" s="17"/>
      <c r="AC27" s="9">
        <f t="shared" ref="AC27:AM27" si="59">+AC25-AC26</f>
        <v>2940</v>
      </c>
      <c r="AD27" s="9">
        <f t="shared" si="59"/>
        <v>3688</v>
      </c>
      <c r="AE27" s="9">
        <f t="shared" si="59"/>
        <v>10217</v>
      </c>
      <c r="AF27" s="9">
        <f t="shared" si="59"/>
        <v>15934</v>
      </c>
      <c r="AG27" s="9">
        <f t="shared" si="59"/>
        <v>22112</v>
      </c>
      <c r="AH27" s="9">
        <f t="shared" si="59"/>
        <v>18485</v>
      </c>
      <c r="AI27" s="9">
        <f t="shared" si="59"/>
        <v>29147</v>
      </c>
      <c r="AJ27" s="9">
        <f t="shared" si="59"/>
        <v>39370</v>
      </c>
      <c r="AK27" s="9">
        <f t="shared" si="59"/>
        <v>23200</v>
      </c>
      <c r="AL27" s="9">
        <f t="shared" si="59"/>
        <v>39097</v>
      </c>
      <c r="AM27" s="9">
        <f t="shared" si="59"/>
        <v>62360</v>
      </c>
      <c r="AN27" s="9">
        <f>+AN25-AN26</f>
        <v>61837.52</v>
      </c>
      <c r="AO27" s="9">
        <f t="shared" ref="AO27:AW27" si="60">+AO25-AO26</f>
        <v>68557.542080000014</v>
      </c>
      <c r="AP27" s="9">
        <f t="shared" si="60"/>
        <v>75344.094573760041</v>
      </c>
      <c r="AQ27" s="9">
        <f t="shared" si="60"/>
        <v>82036.949378904392</v>
      </c>
      <c r="AR27" s="9">
        <f t="shared" si="60"/>
        <v>92062.000386377666</v>
      </c>
      <c r="AS27" s="9">
        <f t="shared" si="60"/>
        <v>102891.38229137407</v>
      </c>
      <c r="AT27" s="9">
        <f t="shared" si="60"/>
        <v>114545.53056668983</v>
      </c>
      <c r="AU27" s="9">
        <f t="shared" si="60"/>
        <v>127035.67621134847</v>
      </c>
      <c r="AV27" s="9">
        <f t="shared" si="60"/>
        <v>140361.03970430631</v>
      </c>
      <c r="AW27" s="9">
        <f t="shared" si="60"/>
        <v>161824.77498419248</v>
      </c>
      <c r="AX27" s="9">
        <f>+AW27*(1+$AZ$32)</f>
        <v>163443.0227340344</v>
      </c>
      <c r="AY27" s="9">
        <f t="shared" ref="AY27:DJ27" si="61">+AX27*(1+$AZ$32)</f>
        <v>165077.45296137474</v>
      </c>
      <c r="AZ27" s="9">
        <f t="shared" si="61"/>
        <v>166728.2274909885</v>
      </c>
      <c r="BA27" s="9">
        <f t="shared" si="61"/>
        <v>168395.5097658984</v>
      </c>
      <c r="BB27" s="9">
        <f t="shared" si="61"/>
        <v>170079.4648635574</v>
      </c>
      <c r="BC27" s="9">
        <f t="shared" si="61"/>
        <v>171780.25951219298</v>
      </c>
      <c r="BD27" s="9">
        <f t="shared" si="61"/>
        <v>173498.06210731491</v>
      </c>
      <c r="BE27" s="9">
        <f t="shared" si="61"/>
        <v>175233.04272838807</v>
      </c>
      <c r="BF27" s="9">
        <f t="shared" si="61"/>
        <v>176985.37315567196</v>
      </c>
      <c r="BG27" s="9">
        <f t="shared" si="61"/>
        <v>178755.22688722867</v>
      </c>
      <c r="BH27" s="9">
        <f t="shared" si="61"/>
        <v>180542.77915610097</v>
      </c>
      <c r="BI27" s="9">
        <f t="shared" si="61"/>
        <v>182348.20694766197</v>
      </c>
      <c r="BJ27" s="9">
        <f t="shared" si="61"/>
        <v>184171.68901713859</v>
      </c>
      <c r="BK27" s="9">
        <f t="shared" si="61"/>
        <v>186013.40590730996</v>
      </c>
      <c r="BL27" s="9">
        <f t="shared" si="61"/>
        <v>187873.53996638308</v>
      </c>
      <c r="BM27" s="9">
        <f t="shared" si="61"/>
        <v>189752.2753660469</v>
      </c>
      <c r="BN27" s="9">
        <f t="shared" si="61"/>
        <v>191649.79811970738</v>
      </c>
      <c r="BO27" s="9">
        <f t="shared" si="61"/>
        <v>193566.29610090447</v>
      </c>
      <c r="BP27" s="9">
        <f t="shared" si="61"/>
        <v>195501.95906191351</v>
      </c>
      <c r="BQ27" s="9">
        <f t="shared" si="61"/>
        <v>197456.97865253265</v>
      </c>
      <c r="BR27" s="9">
        <f t="shared" si="61"/>
        <v>199431.54843905798</v>
      </c>
      <c r="BS27" s="9">
        <f t="shared" si="61"/>
        <v>201425.86392344857</v>
      </c>
      <c r="BT27" s="9">
        <f t="shared" si="61"/>
        <v>203440.12256268307</v>
      </c>
      <c r="BU27" s="9">
        <f t="shared" si="61"/>
        <v>205474.52378830992</v>
      </c>
      <c r="BV27" s="9">
        <f t="shared" si="61"/>
        <v>207529.26902619301</v>
      </c>
      <c r="BW27" s="9">
        <f t="shared" si="61"/>
        <v>209604.56171645495</v>
      </c>
      <c r="BX27" s="9">
        <f t="shared" si="61"/>
        <v>211700.6073336195</v>
      </c>
      <c r="BY27" s="9">
        <f t="shared" si="61"/>
        <v>213817.6134069557</v>
      </c>
      <c r="BZ27" s="9">
        <f t="shared" si="61"/>
        <v>215955.78954102527</v>
      </c>
      <c r="CA27" s="9">
        <f t="shared" si="61"/>
        <v>218115.34743643552</v>
      </c>
      <c r="CB27" s="9">
        <f t="shared" si="61"/>
        <v>220296.50091079989</v>
      </c>
      <c r="CC27" s="9">
        <f t="shared" si="61"/>
        <v>222499.4659199079</v>
      </c>
      <c r="CD27" s="9">
        <f t="shared" si="61"/>
        <v>224724.46057910699</v>
      </c>
      <c r="CE27" s="9">
        <f t="shared" si="61"/>
        <v>226971.70518489808</v>
      </c>
      <c r="CF27" s="9">
        <f t="shared" si="61"/>
        <v>229241.42223674705</v>
      </c>
      <c r="CG27" s="9">
        <f t="shared" si="61"/>
        <v>231533.83645911454</v>
      </c>
      <c r="CH27" s="9">
        <f t="shared" si="61"/>
        <v>233849.17482370569</v>
      </c>
      <c r="CI27" s="9">
        <f t="shared" si="61"/>
        <v>236187.66657194274</v>
      </c>
      <c r="CJ27" s="9">
        <f t="shared" si="61"/>
        <v>238549.54323766218</v>
      </c>
      <c r="CK27" s="9">
        <f t="shared" si="61"/>
        <v>240935.0386700388</v>
      </c>
      <c r="CL27" s="9">
        <f t="shared" si="61"/>
        <v>243344.38905673919</v>
      </c>
      <c r="CM27" s="9">
        <f t="shared" si="61"/>
        <v>245777.8329473066</v>
      </c>
      <c r="CN27" s="9">
        <f t="shared" si="61"/>
        <v>248235.61127677967</v>
      </c>
      <c r="CO27" s="9">
        <f t="shared" si="61"/>
        <v>250717.96738954747</v>
      </c>
      <c r="CP27" s="9">
        <f t="shared" si="61"/>
        <v>253225.14706344294</v>
      </c>
      <c r="CQ27" s="9">
        <f t="shared" si="61"/>
        <v>255757.39853407737</v>
      </c>
      <c r="CR27" s="9">
        <f t="shared" si="61"/>
        <v>258314.97251941814</v>
      </c>
      <c r="CS27" s="9">
        <f t="shared" si="61"/>
        <v>260898.12224461231</v>
      </c>
      <c r="CT27" s="9">
        <f t="shared" si="61"/>
        <v>263507.10346705845</v>
      </c>
      <c r="CU27" s="9">
        <f t="shared" si="61"/>
        <v>266142.17450172902</v>
      </c>
      <c r="CV27" s="9">
        <f t="shared" si="61"/>
        <v>268803.59624674631</v>
      </c>
      <c r="CW27" s="9">
        <f t="shared" si="61"/>
        <v>271491.6322092138</v>
      </c>
      <c r="CX27" s="9">
        <f t="shared" si="61"/>
        <v>274206.54853130592</v>
      </c>
      <c r="CY27" s="9">
        <f t="shared" si="61"/>
        <v>276948.61401661899</v>
      </c>
      <c r="CZ27" s="9">
        <f t="shared" si="61"/>
        <v>279718.10015678516</v>
      </c>
      <c r="DA27" s="9">
        <f t="shared" si="61"/>
        <v>282515.28115835303</v>
      </c>
      <c r="DB27" s="9">
        <f t="shared" si="61"/>
        <v>285340.43396993657</v>
      </c>
      <c r="DC27" s="9">
        <f t="shared" si="61"/>
        <v>288193.83830963593</v>
      </c>
      <c r="DD27" s="9">
        <f t="shared" si="61"/>
        <v>291075.7766927323</v>
      </c>
      <c r="DE27" s="9">
        <f t="shared" si="61"/>
        <v>293986.5344596596</v>
      </c>
      <c r="DF27" s="9">
        <f t="shared" si="61"/>
        <v>296926.39980425622</v>
      </c>
      <c r="DG27" s="9">
        <f t="shared" si="61"/>
        <v>299895.66380229878</v>
      </c>
      <c r="DH27" s="9">
        <f t="shared" si="61"/>
        <v>302894.62044032174</v>
      </c>
      <c r="DI27" s="9">
        <f t="shared" si="61"/>
        <v>305923.56664472498</v>
      </c>
      <c r="DJ27" s="9">
        <f t="shared" si="61"/>
        <v>308982.80231117224</v>
      </c>
      <c r="DK27" s="9">
        <f t="shared" ref="DK27:ET27" si="62">+DJ27*(1+$AZ$32)</f>
        <v>312072.63033428398</v>
      </c>
      <c r="DL27" s="9">
        <f t="shared" si="62"/>
        <v>315193.35663762683</v>
      </c>
      <c r="DM27" s="9">
        <f t="shared" si="62"/>
        <v>318345.2902040031</v>
      </c>
      <c r="DN27" s="9">
        <f t="shared" si="62"/>
        <v>321528.74310604314</v>
      </c>
      <c r="DO27" s="9">
        <f t="shared" si="62"/>
        <v>324744.03053710359</v>
      </c>
      <c r="DP27" s="9">
        <f t="shared" si="62"/>
        <v>327991.47084247461</v>
      </c>
      <c r="DQ27" s="9">
        <f t="shared" si="62"/>
        <v>331271.38555089937</v>
      </c>
      <c r="DR27" s="9">
        <f t="shared" si="62"/>
        <v>334584.09940640838</v>
      </c>
      <c r="DS27" s="9">
        <f t="shared" si="62"/>
        <v>337929.94040047249</v>
      </c>
      <c r="DT27" s="9">
        <f t="shared" si="62"/>
        <v>341309.2398044772</v>
      </c>
      <c r="DU27" s="9">
        <f t="shared" si="62"/>
        <v>344722.33220252197</v>
      </c>
      <c r="DV27" s="9">
        <f t="shared" si="62"/>
        <v>348169.55552454718</v>
      </c>
      <c r="DW27" s="9">
        <f t="shared" si="62"/>
        <v>351651.25107979268</v>
      </c>
      <c r="DX27" s="9">
        <f t="shared" si="62"/>
        <v>355167.76359059062</v>
      </c>
      <c r="DY27" s="9">
        <f t="shared" si="62"/>
        <v>358719.44122649654</v>
      </c>
      <c r="DZ27" s="9">
        <f t="shared" si="62"/>
        <v>362306.63563876151</v>
      </c>
      <c r="EA27" s="9">
        <f t="shared" si="62"/>
        <v>365929.70199514914</v>
      </c>
      <c r="EB27" s="9">
        <f t="shared" si="62"/>
        <v>369588.99901510065</v>
      </c>
      <c r="EC27" s="9">
        <f t="shared" si="62"/>
        <v>373284.88900525164</v>
      </c>
      <c r="ED27" s="9">
        <f t="shared" si="62"/>
        <v>377017.73789530416</v>
      </c>
      <c r="EE27" s="9">
        <f t="shared" si="62"/>
        <v>380787.91527425719</v>
      </c>
      <c r="EF27" s="9">
        <f t="shared" si="62"/>
        <v>384595.79442699975</v>
      </c>
      <c r="EG27" s="9">
        <f t="shared" si="62"/>
        <v>388441.75237126974</v>
      </c>
      <c r="EH27" s="9">
        <f t="shared" si="62"/>
        <v>392326.16989498242</v>
      </c>
      <c r="EI27" s="9">
        <f t="shared" si="62"/>
        <v>396249.43159393227</v>
      </c>
      <c r="EJ27" s="9">
        <f t="shared" si="62"/>
        <v>400211.92590987158</v>
      </c>
      <c r="EK27" s="9">
        <f t="shared" si="62"/>
        <v>404214.0451689703</v>
      </c>
      <c r="EL27" s="9">
        <f t="shared" si="62"/>
        <v>408256.18562066002</v>
      </c>
      <c r="EM27" s="9">
        <f t="shared" si="62"/>
        <v>412338.74747686664</v>
      </c>
      <c r="EN27" s="9">
        <f t="shared" si="62"/>
        <v>416462.13495163532</v>
      </c>
      <c r="EO27" s="9">
        <f t="shared" si="62"/>
        <v>420626.7563011517</v>
      </c>
      <c r="EP27" s="9">
        <f t="shared" si="62"/>
        <v>424833.0238641632</v>
      </c>
      <c r="EQ27" s="9">
        <f t="shared" si="62"/>
        <v>429081.35410280485</v>
      </c>
      <c r="ER27" s="9">
        <f t="shared" si="62"/>
        <v>433372.16764383292</v>
      </c>
      <c r="ES27" s="9">
        <f t="shared" si="62"/>
        <v>437705.88932027126</v>
      </c>
      <c r="ET27" s="9">
        <f t="shared" si="62"/>
        <v>442082.94821347395</v>
      </c>
    </row>
    <row r="28" spans="1:150" s="8" customFormat="1">
      <c r="A28" s="8" t="s">
        <v>21</v>
      </c>
      <c r="B28" s="8">
        <f t="shared" ref="B28:E28" si="63">+B27/B29</f>
        <v>1.7092050209205021</v>
      </c>
      <c r="C28" s="8">
        <f t="shared" si="63"/>
        <v>1.7985411601250434</v>
      </c>
      <c r="D28" s="8">
        <f t="shared" si="63"/>
        <v>2.7139398132134209</v>
      </c>
      <c r="E28" s="8">
        <f t="shared" si="63"/>
        <v>3.8970826580226903</v>
      </c>
      <c r="F28" s="8">
        <f t="shared" ref="F28:I28" si="64">+F27/F29</f>
        <v>3.2952810548230396</v>
      </c>
      <c r="G28" s="8">
        <f t="shared" si="64"/>
        <v>3.6127911018421965</v>
      </c>
      <c r="H28" s="8">
        <f t="shared" si="64"/>
        <v>3.2158097236796084</v>
      </c>
      <c r="I28" s="8">
        <f t="shared" si="64"/>
        <v>3.5802970526804363</v>
      </c>
      <c r="J28" s="8">
        <f t="shared" ref="J28:R28" si="65">+J27/J29</f>
        <v>2.7224653537563821</v>
      </c>
      <c r="K28" s="8">
        <f t="shared" si="65"/>
        <v>2.4647991153704387</v>
      </c>
      <c r="L28" s="8">
        <f t="shared" si="65"/>
        <v>1.6356531447711202</v>
      </c>
      <c r="M28" s="8">
        <f t="shared" si="65"/>
        <v>1.7621212121212122</v>
      </c>
      <c r="N28" s="8">
        <f t="shared" si="65"/>
        <v>2.1991525423728815</v>
      </c>
      <c r="O28" s="8">
        <f t="shared" si="65"/>
        <v>2.9816232771822357</v>
      </c>
      <c r="P28" s="8">
        <f t="shared" si="65"/>
        <v>4.3858386974630825</v>
      </c>
      <c r="Q28" s="8">
        <f t="shared" si="65"/>
        <v>5.3296577946768062</v>
      </c>
      <c r="R28" s="8">
        <f t="shared" si="65"/>
        <v>4.7119999999999997</v>
      </c>
      <c r="S28" s="8">
        <f t="shared" ref="S28:U28" si="66">+S27/S29</f>
        <v>5.1590038314176248</v>
      </c>
      <c r="T28" s="8">
        <f t="shared" si="66"/>
        <v>6.0338461538461541</v>
      </c>
      <c r="U28" s="8">
        <f t="shared" si="66"/>
        <v>7.4041315990818672</v>
      </c>
      <c r="AA28" s="17"/>
      <c r="AB28" s="17"/>
      <c r="AC28" s="8">
        <f t="shared" ref="AC28:AW28" si="67">+AC27/AC29</f>
        <v>1.1036036036036037</v>
      </c>
      <c r="AD28" s="8">
        <f t="shared" si="67"/>
        <v>1.2926743778478795</v>
      </c>
      <c r="AE28" s="8">
        <f t="shared" si="67"/>
        <v>3.4929914529914532</v>
      </c>
      <c r="AF28" s="8">
        <f t="shared" si="67"/>
        <v>5.3903924221921518</v>
      </c>
      <c r="AG28" s="8">
        <f t="shared" si="67"/>
        <v>7.5700102704553238</v>
      </c>
      <c r="AH28" s="8">
        <f t="shared" si="67"/>
        <v>6.4273296244784426</v>
      </c>
      <c r="AI28" s="8">
        <f t="shared" si="67"/>
        <v>10.092451523545707</v>
      </c>
      <c r="AJ28" s="8">
        <f t="shared" si="67"/>
        <v>13.770549143057012</v>
      </c>
      <c r="AK28" s="8">
        <f t="shared" si="67"/>
        <v>8.5862324204293117</v>
      </c>
      <c r="AL28" s="8">
        <f t="shared" si="67"/>
        <v>14.871434005325218</v>
      </c>
      <c r="AM28" s="8">
        <f t="shared" si="67"/>
        <v>23.872140874724852</v>
      </c>
      <c r="AN28" s="8">
        <f t="shared" si="67"/>
        <v>24.155234071808451</v>
      </c>
      <c r="AO28" s="8">
        <f t="shared" si="67"/>
        <v>27.326773030457655</v>
      </c>
      <c r="AP28" s="8">
        <f t="shared" si="67"/>
        <v>30.644762036656576</v>
      </c>
      <c r="AQ28" s="8">
        <f t="shared" si="67"/>
        <v>34.047910269139003</v>
      </c>
      <c r="AR28" s="8">
        <f t="shared" si="67"/>
        <v>38.988389043409441</v>
      </c>
      <c r="AS28" s="8">
        <f t="shared" si="67"/>
        <v>44.463926319773748</v>
      </c>
      <c r="AT28" s="8">
        <f t="shared" si="67"/>
        <v>50.510408457584134</v>
      </c>
      <c r="AU28" s="8">
        <f t="shared" si="67"/>
        <v>57.161334621884812</v>
      </c>
      <c r="AV28" s="8">
        <f t="shared" si="67"/>
        <v>64.446176658386861</v>
      </c>
      <c r="AW28" s="8">
        <f t="shared" si="67"/>
        <v>75.817509967802877</v>
      </c>
    </row>
    <row r="29" spans="1:150">
      <c r="A29" s="2" t="s">
        <v>4</v>
      </c>
      <c r="B29" s="2">
        <v>2868</v>
      </c>
      <c r="C29" s="2">
        <v>2879</v>
      </c>
      <c r="D29" s="2">
        <v>2891</v>
      </c>
      <c r="E29" s="2">
        <f>+AVERAGE(B29:D29)</f>
        <v>2879.3333333333335</v>
      </c>
      <c r="F29" s="2">
        <v>2882</v>
      </c>
      <c r="G29" s="2">
        <v>2877</v>
      </c>
      <c r="H29" s="2">
        <v>2859</v>
      </c>
      <c r="I29" s="2">
        <f>+AVERAGE(F29:H29)</f>
        <v>2872.6666666666665</v>
      </c>
      <c r="J29" s="2">
        <v>2742</v>
      </c>
      <c r="K29" s="2">
        <v>2713</v>
      </c>
      <c r="L29" s="2">
        <v>2687</v>
      </c>
      <c r="M29" s="2">
        <v>2640</v>
      </c>
      <c r="N29" s="2">
        <v>2596</v>
      </c>
      <c r="O29" s="2">
        <v>2612</v>
      </c>
      <c r="P29" s="2">
        <v>2641</v>
      </c>
      <c r="Q29" s="2">
        <v>2630</v>
      </c>
      <c r="R29" s="2">
        <v>2625</v>
      </c>
      <c r="S29" s="2">
        <v>2610</v>
      </c>
      <c r="T29" s="2">
        <v>2600</v>
      </c>
      <c r="U29" s="2">
        <v>2614</v>
      </c>
      <c r="AA29" s="17">
        <f t="shared" ref="AA29" si="68">(AL29/AH29)^(1/5)-1</f>
        <v>-1.7799070293453512E-2</v>
      </c>
      <c r="AB29" s="17">
        <v>-0.02</v>
      </c>
      <c r="AC29" s="2">
        <v>2664</v>
      </c>
      <c r="AD29" s="2">
        <v>2853</v>
      </c>
      <c r="AE29" s="2">
        <v>2925</v>
      </c>
      <c r="AF29" s="2">
        <v>2956</v>
      </c>
      <c r="AG29" s="2">
        <v>2921</v>
      </c>
      <c r="AH29" s="2">
        <v>2876</v>
      </c>
      <c r="AI29" s="2">
        <v>2888</v>
      </c>
      <c r="AJ29" s="2">
        <v>2859</v>
      </c>
      <c r="AK29" s="2">
        <v>2702</v>
      </c>
      <c r="AL29" s="2">
        <v>2629</v>
      </c>
      <c r="AM29" s="2">
        <f>+AVERAGE(R29:U29)</f>
        <v>2612.25</v>
      </c>
      <c r="AN29" s="2">
        <f t="shared" ref="AN29:AW29" si="69">+AM29*0.98</f>
        <v>2560.0050000000001</v>
      </c>
      <c r="AO29" s="2">
        <f t="shared" si="69"/>
        <v>2508.8049000000001</v>
      </c>
      <c r="AP29" s="2">
        <f t="shared" si="69"/>
        <v>2458.6288020000002</v>
      </c>
      <c r="AQ29" s="2">
        <f t="shared" si="69"/>
        <v>2409.4562259600002</v>
      </c>
      <c r="AR29" s="2">
        <f t="shared" si="69"/>
        <v>2361.2671014408002</v>
      </c>
      <c r="AS29" s="2">
        <f t="shared" si="69"/>
        <v>2314.041759411984</v>
      </c>
      <c r="AT29" s="2">
        <f t="shared" si="69"/>
        <v>2267.7609242237445</v>
      </c>
      <c r="AU29" s="2">
        <f t="shared" si="69"/>
        <v>2222.4057057392697</v>
      </c>
      <c r="AV29" s="2">
        <f t="shared" si="69"/>
        <v>2177.9575916244844</v>
      </c>
      <c r="AW29" s="2">
        <f t="shared" si="69"/>
        <v>2134.3984397919949</v>
      </c>
    </row>
    <row r="31" spans="1:150" s="6" customFormat="1">
      <c r="A31" s="6" t="s">
        <v>22</v>
      </c>
      <c r="B31" s="6">
        <f t="shared" ref="B31:T31" si="70">+B18/B16</f>
        <v>0.80498393189378137</v>
      </c>
      <c r="C31" s="6">
        <f t="shared" si="70"/>
        <v>0.7950981966072671</v>
      </c>
      <c r="D31" s="6">
        <f t="shared" si="70"/>
        <v>0.80465766185374943</v>
      </c>
      <c r="E31" s="6">
        <f t="shared" si="70"/>
        <v>0.81440581362211462</v>
      </c>
      <c r="F31" s="6">
        <f t="shared" si="70"/>
        <v>0.80394329601467274</v>
      </c>
      <c r="G31" s="6">
        <f t="shared" si="70"/>
        <v>0.81432059703545756</v>
      </c>
      <c r="H31" s="6">
        <f t="shared" si="70"/>
        <v>0.80106859703550504</v>
      </c>
      <c r="I31" s="6">
        <f t="shared" si="70"/>
        <v>0.81146981081642955</v>
      </c>
      <c r="J31" s="6">
        <f t="shared" si="70"/>
        <v>0.78482872294682526</v>
      </c>
      <c r="K31" s="6">
        <f t="shared" si="70"/>
        <v>0.81985982929706469</v>
      </c>
      <c r="L31" s="6">
        <f t="shared" si="70"/>
        <v>0.79375045103557773</v>
      </c>
      <c r="M31" s="6">
        <f t="shared" si="70"/>
        <v>0.74083631276231932</v>
      </c>
      <c r="N31" s="6">
        <f t="shared" si="70"/>
        <v>0.7867690696456624</v>
      </c>
      <c r="O31" s="6">
        <f t="shared" si="70"/>
        <v>0.81421294415450485</v>
      </c>
      <c r="P31" s="6">
        <f t="shared" si="70"/>
        <v>0.81813389562467054</v>
      </c>
      <c r="Q31" s="6">
        <f t="shared" si="70"/>
        <v>0.80815736331679588</v>
      </c>
      <c r="R31" s="6">
        <f t="shared" si="70"/>
        <v>0.81785763269784661</v>
      </c>
      <c r="S31" s="6">
        <f t="shared" si="70"/>
        <v>0.81295590079598679</v>
      </c>
      <c r="T31" s="6">
        <f t="shared" si="70"/>
        <v>0.81830052477272164</v>
      </c>
      <c r="U31" s="6">
        <f t="shared" ref="U31" si="71">+U18/U16</f>
        <v>0.81734385979415536</v>
      </c>
      <c r="AC31" s="6">
        <f t="shared" ref="AC31:AL31" si="72">+AC18/AC16</f>
        <v>0.82729022942403341</v>
      </c>
      <c r="AD31" s="6">
        <f t="shared" si="72"/>
        <v>0.84008255243195007</v>
      </c>
      <c r="AE31" s="6">
        <f t="shared" si="72"/>
        <v>0.86290614371517471</v>
      </c>
      <c r="AF31" s="6">
        <f t="shared" si="72"/>
        <v>0.86584015939783043</v>
      </c>
      <c r="AG31" s="6">
        <f t="shared" si="72"/>
        <v>0.8324617643898421</v>
      </c>
      <c r="AH31" s="6">
        <f t="shared" si="72"/>
        <v>0.81936998741106415</v>
      </c>
      <c r="AI31" s="6">
        <f t="shared" si="72"/>
        <v>0.80583021194425708</v>
      </c>
      <c r="AJ31" s="6">
        <f t="shared" si="72"/>
        <v>0.80794376277251567</v>
      </c>
      <c r="AK31" s="6">
        <f t="shared" si="72"/>
        <v>0.78347297378418479</v>
      </c>
      <c r="AL31" s="6">
        <f t="shared" si="72"/>
        <v>0.80756999577467925</v>
      </c>
      <c r="AM31" s="6">
        <f t="shared" ref="AM31:AW31" si="73">+AM18/AM16</f>
        <v>0.81665157050717019</v>
      </c>
      <c r="AN31" s="6">
        <f t="shared" si="73"/>
        <v>0.81995514581334716</v>
      </c>
      <c r="AO31" s="6">
        <f t="shared" si="73"/>
        <v>0.8231991972401338</v>
      </c>
      <c r="AP31" s="6">
        <f t="shared" si="73"/>
        <v>0.82638479728986114</v>
      </c>
      <c r="AQ31" s="6">
        <f t="shared" si="73"/>
        <v>0.82951299914049426</v>
      </c>
      <c r="AR31" s="6">
        <f t="shared" si="73"/>
        <v>0.83258483699381869</v>
      </c>
      <c r="AS31" s="6">
        <f t="shared" si="73"/>
        <v>0.83560132641735341</v>
      </c>
      <c r="AT31" s="6">
        <f t="shared" si="73"/>
        <v>0.8385634646801039</v>
      </c>
      <c r="AU31" s="6">
        <f t="shared" si="73"/>
        <v>0.84147223108226421</v>
      </c>
      <c r="AV31" s="6">
        <f t="shared" si="73"/>
        <v>0.84432858727898008</v>
      </c>
      <c r="AW31" s="6">
        <f t="shared" si="73"/>
        <v>0.84713347759827773</v>
      </c>
      <c r="AY31" s="6" t="s">
        <v>94</v>
      </c>
      <c r="AZ31" s="6">
        <v>0.04</v>
      </c>
    </row>
    <row r="32" spans="1:150" s="6" customFormat="1">
      <c r="A32" s="6" t="s">
        <v>23</v>
      </c>
      <c r="B32" s="6">
        <f t="shared" ref="B32:T32" si="74">+B23/B16</f>
        <v>0.33224333314540228</v>
      </c>
      <c r="C32" s="6">
        <f t="shared" si="74"/>
        <v>0.31909883876491679</v>
      </c>
      <c r="D32" s="6">
        <f t="shared" si="74"/>
        <v>0.37447601304145317</v>
      </c>
      <c r="E32" s="6">
        <f t="shared" si="74"/>
        <v>0.45511541749786266</v>
      </c>
      <c r="F32" s="6">
        <f t="shared" si="74"/>
        <v>0.43475602766420846</v>
      </c>
      <c r="G32" s="6">
        <f t="shared" si="74"/>
        <v>0.42531898063761736</v>
      </c>
      <c r="H32" s="6">
        <f t="shared" si="74"/>
        <v>0.35928990003447087</v>
      </c>
      <c r="I32" s="6">
        <f t="shared" si="74"/>
        <v>0.37376377297971547</v>
      </c>
      <c r="J32" s="6">
        <f t="shared" si="74"/>
        <v>0.30543213415508097</v>
      </c>
      <c r="K32" s="6">
        <f t="shared" si="74"/>
        <v>0.28998681562695161</v>
      </c>
      <c r="L32" s="6">
        <f t="shared" si="74"/>
        <v>0.20437324096124701</v>
      </c>
      <c r="M32" s="6">
        <f t="shared" si="74"/>
        <v>0.19894295041193844</v>
      </c>
      <c r="N32" s="6">
        <f t="shared" si="74"/>
        <v>0.25229533950078548</v>
      </c>
      <c r="O32" s="6">
        <f t="shared" si="74"/>
        <v>0.29350917216163003</v>
      </c>
      <c r="P32" s="6">
        <f t="shared" si="74"/>
        <v>0.40262402624026239</v>
      </c>
      <c r="Q32" s="6">
        <f t="shared" si="74"/>
        <v>0.4084665054473835</v>
      </c>
      <c r="R32" s="6">
        <f t="shared" si="74"/>
        <v>0.37904265532848719</v>
      </c>
      <c r="S32" s="6">
        <f t="shared" si="74"/>
        <v>0.38000051188861306</v>
      </c>
      <c r="T32" s="6">
        <f t="shared" si="74"/>
        <v>0.4274557146024785</v>
      </c>
      <c r="U32" s="6">
        <f t="shared" ref="U32" si="75">+U23/U16</f>
        <v>0.48288761211920805</v>
      </c>
      <c r="AC32" s="6">
        <f t="shared" ref="AC32:AL32" si="76">+AC23/AC16</f>
        <v>0.40060965827049577</v>
      </c>
      <c r="AD32" s="6">
        <f t="shared" si="76"/>
        <v>0.34722222222222221</v>
      </c>
      <c r="AE32" s="6">
        <f t="shared" si="76"/>
        <v>0.44963456111151312</v>
      </c>
      <c r="AF32" s="6">
        <f t="shared" si="76"/>
        <v>0.49696209381841439</v>
      </c>
      <c r="AG32" s="6">
        <f t="shared" si="76"/>
        <v>0.44616569361366809</v>
      </c>
      <c r="AH32" s="6">
        <f t="shared" si="76"/>
        <v>0.33927889443682191</v>
      </c>
      <c r="AI32" s="6">
        <f t="shared" si="76"/>
        <v>0.38005723192890212</v>
      </c>
      <c r="AJ32" s="6">
        <f t="shared" si="76"/>
        <v>0.39645040660058173</v>
      </c>
      <c r="AK32" s="6">
        <f t="shared" si="76"/>
        <v>0.24821411726367604</v>
      </c>
      <c r="AL32" s="6">
        <f t="shared" si="76"/>
        <v>0.34655043328070212</v>
      </c>
      <c r="AM32" s="6">
        <f t="shared" ref="AM32:AW32" si="77">+AM23/AM16</f>
        <v>0.42176035404040096</v>
      </c>
      <c r="AN32" s="6">
        <f t="shared" si="77"/>
        <v>0.41259006010588062</v>
      </c>
      <c r="AO32" s="6">
        <f t="shared" si="77"/>
        <v>0.40094332135997207</v>
      </c>
      <c r="AP32" s="6">
        <f t="shared" si="77"/>
        <v>0.38672790758047221</v>
      </c>
      <c r="AQ32" s="6">
        <f t="shared" si="77"/>
        <v>0.36983639251022499</v>
      </c>
      <c r="AR32" s="6">
        <f t="shared" si="77"/>
        <v>0.3665555073496487</v>
      </c>
      <c r="AS32" s="6">
        <f t="shared" si="77"/>
        <v>0.36225724469579568</v>
      </c>
      <c r="AT32" s="6">
        <f t="shared" si="77"/>
        <v>0.35696138924203463</v>
      </c>
      <c r="AU32" s="6">
        <f t="shared" si="77"/>
        <v>0.35068442800539018</v>
      </c>
      <c r="AV32" s="6">
        <f t="shared" si="77"/>
        <v>0.34343972947441764</v>
      </c>
      <c r="AW32" s="6">
        <f t="shared" si="77"/>
        <v>0.3548253952634432</v>
      </c>
      <c r="AY32" s="6" t="s">
        <v>144</v>
      </c>
      <c r="AZ32" s="6">
        <v>0.01</v>
      </c>
    </row>
    <row r="33" spans="1:58" s="6" customFormat="1">
      <c r="A33" s="6" t="s">
        <v>25</v>
      </c>
      <c r="B33" s="6">
        <f t="shared" ref="B33:T33" si="78">+B27/B16</f>
        <v>0.27637142696059086</v>
      </c>
      <c r="C33" s="6">
        <f t="shared" si="78"/>
        <v>0.27709102584684542</v>
      </c>
      <c r="D33" s="6">
        <f t="shared" si="78"/>
        <v>0.3654401490451793</v>
      </c>
      <c r="E33" s="6">
        <f t="shared" si="78"/>
        <v>0.39972214306070103</v>
      </c>
      <c r="F33" s="6">
        <f t="shared" si="78"/>
        <v>0.36288257995491191</v>
      </c>
      <c r="G33" s="6">
        <f t="shared" si="78"/>
        <v>0.35746466279189737</v>
      </c>
      <c r="H33" s="6">
        <f t="shared" si="78"/>
        <v>0.31692519820751464</v>
      </c>
      <c r="I33" s="6">
        <f t="shared" si="78"/>
        <v>0.30545573342045085</v>
      </c>
      <c r="J33" s="6">
        <f t="shared" si="78"/>
        <v>0.26748602551239786</v>
      </c>
      <c r="K33" s="6">
        <f t="shared" si="78"/>
        <v>0.23201026993269031</v>
      </c>
      <c r="L33" s="6">
        <f t="shared" si="78"/>
        <v>0.15858410911452694</v>
      </c>
      <c r="M33" s="6">
        <f t="shared" si="78"/>
        <v>0.1446292554018343</v>
      </c>
      <c r="N33" s="6">
        <f t="shared" si="78"/>
        <v>0.19930179787048349</v>
      </c>
      <c r="O33" s="6">
        <f t="shared" si="78"/>
        <v>0.24338260570642833</v>
      </c>
      <c r="P33" s="6">
        <f t="shared" si="78"/>
        <v>0.33921982076963625</v>
      </c>
      <c r="Q33" s="6">
        <f t="shared" si="78"/>
        <v>0.34945526164892421</v>
      </c>
      <c r="R33" s="6">
        <f t="shared" si="78"/>
        <v>0.33929502125908656</v>
      </c>
      <c r="S33" s="6">
        <f t="shared" si="78"/>
        <v>0.34462900872770086</v>
      </c>
      <c r="T33" s="6">
        <f t="shared" si="78"/>
        <v>0.38650865998176848</v>
      </c>
      <c r="U33" s="6">
        <f t="shared" ref="U33" si="79">+U27/U16</f>
        <v>0.4</v>
      </c>
      <c r="AC33" s="6">
        <f t="shared" ref="AC33:AL33" si="80">+AC27/AC16</f>
        <v>0.2358414888496711</v>
      </c>
      <c r="AD33" s="6">
        <f t="shared" si="80"/>
        <v>0.20571173583221777</v>
      </c>
      <c r="AE33" s="6">
        <f t="shared" si="80"/>
        <v>0.36967219046240685</v>
      </c>
      <c r="AF33" s="6">
        <f t="shared" si="80"/>
        <v>0.39195139350109465</v>
      </c>
      <c r="AG33" s="6">
        <f t="shared" si="80"/>
        <v>0.39600272216053584</v>
      </c>
      <c r="AH33" s="6">
        <f t="shared" si="80"/>
        <v>0.26146795479298979</v>
      </c>
      <c r="AI33" s="6">
        <f t="shared" si="80"/>
        <v>0.33905264872158758</v>
      </c>
      <c r="AJ33" s="6">
        <f t="shared" si="80"/>
        <v>0.33384494059985248</v>
      </c>
      <c r="AK33" s="6">
        <f t="shared" si="80"/>
        <v>0.19895548371051977</v>
      </c>
      <c r="AL33" s="6">
        <f t="shared" si="80"/>
        <v>0.28981994203156392</v>
      </c>
      <c r="AM33" s="6">
        <f t="shared" ref="AM33:AW33" si="81">+AM27/AM16</f>
        <v>0.37908584142345642</v>
      </c>
      <c r="AN33" s="6">
        <f t="shared" si="81"/>
        <v>0.33865737884558433</v>
      </c>
      <c r="AO33" s="6">
        <f t="shared" si="81"/>
        <v>0.33825228491134574</v>
      </c>
      <c r="AP33" s="6">
        <f t="shared" si="81"/>
        <v>0.33489737195674818</v>
      </c>
      <c r="AQ33" s="6">
        <f t="shared" si="81"/>
        <v>0.32851034085051006</v>
      </c>
      <c r="AR33" s="6">
        <f t="shared" si="81"/>
        <v>0.3321214849333643</v>
      </c>
      <c r="AS33" s="6">
        <f t="shared" si="81"/>
        <v>0.3344048647399816</v>
      </c>
      <c r="AT33" s="6">
        <f t="shared" si="81"/>
        <v>0.33538895342518121</v>
      </c>
      <c r="AU33" s="6">
        <f t="shared" si="81"/>
        <v>0.33509915370265386</v>
      </c>
      <c r="AV33" s="6">
        <f t="shared" si="81"/>
        <v>0.33355789548658521</v>
      </c>
      <c r="AW33" s="6">
        <f t="shared" si="81"/>
        <v>0.34645487887978321</v>
      </c>
      <c r="AY33" s="6" t="s">
        <v>143</v>
      </c>
      <c r="AZ33" s="6">
        <v>0.09</v>
      </c>
    </row>
    <row r="34" spans="1:58" s="6" customFormat="1">
      <c r="A34" s="6" t="s">
        <v>24</v>
      </c>
      <c r="B34" s="6">
        <f t="shared" ref="B34:D34" si="82">+B26/B25</f>
        <v>0.16362395495649207</v>
      </c>
      <c r="C34" s="6">
        <f t="shared" si="82"/>
        <v>0.15543956940140272</v>
      </c>
      <c r="D34" s="6">
        <f t="shared" si="82"/>
        <v>3.5288331488995447E-2</v>
      </c>
      <c r="E34" s="6">
        <f t="shared" ref="E34" si="83">+E26/E25</f>
        <v>0.14054840686274508</v>
      </c>
      <c r="F34" s="6">
        <f t="shared" ref="F34:H34" si="84">+F26/F25</f>
        <v>0.17438928975049986</v>
      </c>
      <c r="G34" s="6">
        <f t="shared" si="84"/>
        <v>0.16934388236234316</v>
      </c>
      <c r="H34" s="6">
        <f t="shared" si="84"/>
        <v>0.12976810222432561</v>
      </c>
      <c r="I34" s="6">
        <f t="shared" ref="I34" si="85">+I26/I25</f>
        <v>0.19034873651893253</v>
      </c>
      <c r="J34" s="6">
        <f t="shared" ref="J34:R34" si="86">+J26/J25</f>
        <v>0.1619892231701841</v>
      </c>
      <c r="K34" s="6">
        <f t="shared" si="86"/>
        <v>0.18311751771316884</v>
      </c>
      <c r="L34" s="6">
        <f t="shared" si="86"/>
        <v>0.21180057388809181</v>
      </c>
      <c r="M34" s="6">
        <f t="shared" si="86"/>
        <v>0.24345422019840623</v>
      </c>
      <c r="N34" s="6">
        <f t="shared" si="86"/>
        <v>0.21869440262761736</v>
      </c>
      <c r="O34" s="6">
        <f t="shared" si="86"/>
        <v>0.16194985472936618</v>
      </c>
      <c r="P34" s="6">
        <f t="shared" si="86"/>
        <v>0.1738231098430813</v>
      </c>
      <c r="Q34" s="6">
        <f t="shared" si="86"/>
        <v>0.16605188005711566</v>
      </c>
      <c r="R34" s="6">
        <f t="shared" si="86"/>
        <v>0.12789959811041388</v>
      </c>
      <c r="S34" s="6">
        <f t="shared" ref="S34:T34" si="87">+S26/S25</f>
        <v>0.10863233152389778</v>
      </c>
      <c r="T34" s="6">
        <f t="shared" si="87"/>
        <v>0.11973964762652901</v>
      </c>
      <c r="U34" s="6">
        <f t="shared" ref="U34" si="88">+U26/U25</f>
        <v>0.115234375</v>
      </c>
      <c r="AC34" s="6">
        <f t="shared" ref="AC34:AL34" si="89">+AC26/AC25</f>
        <v>0.40122199592668023</v>
      </c>
      <c r="AD34" s="6">
        <f t="shared" si="89"/>
        <v>0.4045850823377462</v>
      </c>
      <c r="AE34" s="6">
        <f t="shared" si="89"/>
        <v>0.18381530595941845</v>
      </c>
      <c r="AF34" s="6">
        <f t="shared" si="89"/>
        <v>0.22627949888316987</v>
      </c>
      <c r="AG34" s="6">
        <f t="shared" si="89"/>
        <v>0.12811009029612397</v>
      </c>
      <c r="AH34" s="6">
        <f t="shared" si="89"/>
        <v>0.25499758181525067</v>
      </c>
      <c r="AI34" s="6">
        <f t="shared" si="89"/>
        <v>0.12157560049425876</v>
      </c>
      <c r="AJ34" s="6">
        <f t="shared" si="89"/>
        <v>0.16737162676592504</v>
      </c>
      <c r="AK34" s="6">
        <f t="shared" si="89"/>
        <v>0.19497553697213643</v>
      </c>
      <c r="AL34" s="6">
        <f t="shared" si="89"/>
        <v>0.17563834946338583</v>
      </c>
      <c r="AM34" s="6">
        <f>+AM26/AM25</f>
        <v>0.11750137978857393</v>
      </c>
      <c r="AN34" s="6">
        <f t="shared" ref="AN34:AW34" si="90">+AN26/AN25</f>
        <v>0.2</v>
      </c>
      <c r="AO34" s="6">
        <f t="shared" si="90"/>
        <v>0.20000000000000004</v>
      </c>
      <c r="AP34" s="6">
        <f t="shared" si="90"/>
        <v>0.19999999999999998</v>
      </c>
      <c r="AQ34" s="6">
        <f t="shared" si="90"/>
        <v>0.2</v>
      </c>
      <c r="AR34" s="6">
        <f t="shared" si="90"/>
        <v>0.20000000000000004</v>
      </c>
      <c r="AS34" s="6">
        <f t="shared" si="90"/>
        <v>0.2</v>
      </c>
      <c r="AT34" s="6">
        <f t="shared" si="90"/>
        <v>0.2</v>
      </c>
      <c r="AU34" s="6">
        <f t="shared" si="90"/>
        <v>0.2</v>
      </c>
      <c r="AV34" s="6">
        <f t="shared" si="90"/>
        <v>0.2</v>
      </c>
      <c r="AW34" s="6">
        <f t="shared" si="90"/>
        <v>0.2</v>
      </c>
      <c r="AY34" s="6" t="s">
        <v>132</v>
      </c>
      <c r="AZ34" s="2">
        <f>+NPV(AZ33,AN27:ET27)+Main!M7-Main!M8</f>
        <v>1522913.3916682384</v>
      </c>
    </row>
    <row r="35" spans="1:58" s="6" customFormat="1">
      <c r="A35" s="6" t="s">
        <v>137</v>
      </c>
      <c r="AC35" s="6">
        <f>+AC19/AC16</f>
        <v>0.21386170383442965</v>
      </c>
      <c r="AD35" s="6">
        <f t="shared" ref="AD35:AW35" si="91">+AD19/AD16</f>
        <v>0.26863007585899151</v>
      </c>
      <c r="AE35" s="6">
        <f t="shared" si="91"/>
        <v>0.21416166148057023</v>
      </c>
      <c r="AF35" s="6">
        <f t="shared" si="91"/>
        <v>0.19073623102846038</v>
      </c>
      <c r="AG35" s="6">
        <f t="shared" si="91"/>
        <v>0.18397865253053475</v>
      </c>
      <c r="AH35" s="6">
        <f t="shared" si="91"/>
        <v>0.19237025616362788</v>
      </c>
      <c r="AI35" s="6">
        <f t="shared" si="91"/>
        <v>0.21458483586534211</v>
      </c>
      <c r="AJ35" s="6">
        <f t="shared" si="91"/>
        <v>0.20906647219937419</v>
      </c>
      <c r="AK35" s="6">
        <f t="shared" si="91"/>
        <v>0.30304693462768739</v>
      </c>
      <c r="AL35" s="6">
        <f t="shared" si="91"/>
        <v>0.28526845612708579</v>
      </c>
      <c r="AM35" s="6">
        <f t="shared" si="91"/>
        <v>0.26670354587510109</v>
      </c>
      <c r="AN35" s="6">
        <f t="shared" si="91"/>
        <v>0.28832815770281195</v>
      </c>
      <c r="AO35" s="6">
        <f t="shared" si="91"/>
        <v>0.3117061164354723</v>
      </c>
      <c r="AP35" s="6">
        <f t="shared" si="91"/>
        <v>0.3369795853356457</v>
      </c>
      <c r="AQ35" s="6">
        <f t="shared" si="91"/>
        <v>0.36430225441691427</v>
      </c>
      <c r="AR35" s="6">
        <f t="shared" si="91"/>
        <v>0.37743026358509124</v>
      </c>
      <c r="AS35" s="6">
        <f t="shared" si="91"/>
        <v>0.39103135416473411</v>
      </c>
      <c r="AT35" s="6">
        <f t="shared" si="91"/>
        <v>0.40512257413463443</v>
      </c>
      <c r="AU35" s="6">
        <f t="shared" si="91"/>
        <v>0.41972158581516167</v>
      </c>
      <c r="AV35" s="6">
        <f t="shared" si="91"/>
        <v>0.43484668800669896</v>
      </c>
      <c r="AW35" s="6">
        <f t="shared" si="91"/>
        <v>0.43092915027690881</v>
      </c>
      <c r="AY35" s="2" t="s">
        <v>133</v>
      </c>
      <c r="AZ35" s="8">
        <f>+AZ34/Main!M5</f>
        <v>582.59884914622739</v>
      </c>
    </row>
    <row r="36" spans="1:58">
      <c r="AY36" s="6" t="s">
        <v>134</v>
      </c>
      <c r="AZ36" s="8">
        <f>+Main!M4</f>
        <v>504.73</v>
      </c>
    </row>
    <row r="37" spans="1:58" s="10" customFormat="1">
      <c r="A37" s="10" t="s">
        <v>26</v>
      </c>
      <c r="F37" s="10">
        <f>+F16/B16-1</f>
        <v>0.47550318543158365</v>
      </c>
      <c r="G37" s="10">
        <f>+G16/E16-1</f>
        <v>3.58007979481334E-2</v>
      </c>
      <c r="H37" s="10">
        <f>+H16/D16-1</f>
        <v>0.35118770377270603</v>
      </c>
      <c r="I37" s="10">
        <f>+I16/E16-1</f>
        <v>0.19945141065830718</v>
      </c>
      <c r="J37" s="10">
        <f>+J16/F16-1</f>
        <v>6.6371174200450911E-2</v>
      </c>
      <c r="K37" s="10">
        <f>+K16/I16-1</f>
        <v>-0.14401116687951054</v>
      </c>
      <c r="L37" s="10">
        <f t="shared" ref="L37:V37" si="92">+L16/H16-1</f>
        <v>-4.4674250258531556E-2</v>
      </c>
      <c r="M37" s="10">
        <f t="shared" si="92"/>
        <v>-4.4726916337501144E-2</v>
      </c>
      <c r="N37" s="10">
        <f t="shared" si="92"/>
        <v>2.6408198366060009E-2</v>
      </c>
      <c r="O37" s="10">
        <f t="shared" si="92"/>
        <v>0.11022829782804799</v>
      </c>
      <c r="P37" s="10">
        <f t="shared" si="92"/>
        <v>0.23208486685429741</v>
      </c>
      <c r="Q37" s="10">
        <f t="shared" si="92"/>
        <v>0.24703870666873939</v>
      </c>
      <c r="R37" s="10">
        <f t="shared" si="92"/>
        <v>0.27264793157619138</v>
      </c>
      <c r="S37" s="10">
        <f t="shared" si="92"/>
        <v>0.2210069064658271</v>
      </c>
      <c r="T37" s="10">
        <f t="shared" si="92"/>
        <v>0.18868974404029748</v>
      </c>
      <c r="U37" s="10">
        <f t="shared" si="92"/>
        <v>0.20630251053327009</v>
      </c>
      <c r="V37" s="10">
        <f t="shared" si="92"/>
        <v>0.14661911946235073</v>
      </c>
      <c r="AD37" s="10">
        <f t="shared" ref="AD37:AM37" si="93">+AD16/AC16-1</f>
        <v>0.43815177282207607</v>
      </c>
      <c r="AE37" s="10">
        <f t="shared" si="93"/>
        <v>0.54161088799643009</v>
      </c>
      <c r="AF37" s="10">
        <f t="shared" si="93"/>
        <v>0.47090961719371882</v>
      </c>
      <c r="AG37" s="10">
        <f t="shared" si="93"/>
        <v>0.37352716896661997</v>
      </c>
      <c r="AH37" s="10">
        <f t="shared" si="93"/>
        <v>0.26610910132884413</v>
      </c>
      <c r="AI37" s="10">
        <f t="shared" si="93"/>
        <v>0.21597804715900248</v>
      </c>
      <c r="AJ37" s="10">
        <f t="shared" si="93"/>
        <v>0.37180978526394148</v>
      </c>
      <c r="AK37" s="10">
        <f t="shared" si="93"/>
        <v>-1.1193175554782941E-2</v>
      </c>
      <c r="AL37" s="10">
        <f t="shared" si="93"/>
        <v>0.15686610810486323</v>
      </c>
      <c r="AM37" s="10">
        <f t="shared" si="93"/>
        <v>0.21942016738200598</v>
      </c>
      <c r="AN37" s="10">
        <f t="shared" ref="AN37" si="94">+AN16/AM16-1</f>
        <v>0.1100000000000001</v>
      </c>
      <c r="AO37" s="10">
        <f t="shared" ref="AO37" si="95">+AO16/AN16-1</f>
        <v>0.1100000000000001</v>
      </c>
      <c r="AP37" s="10">
        <f t="shared" ref="AP37" si="96">+AP16/AO16-1</f>
        <v>0.1100000000000001</v>
      </c>
      <c r="AQ37" s="10">
        <f t="shared" ref="AQ37" si="97">+AQ16/AP16-1</f>
        <v>0.1100000000000001</v>
      </c>
      <c r="AR37" s="10">
        <f t="shared" ref="AR37" si="98">+AR16/AQ16-1</f>
        <v>0.1100000000000001</v>
      </c>
      <c r="AS37" s="10">
        <f t="shared" ref="AS37" si="99">+AS16/AR16-1</f>
        <v>0.1100000000000001</v>
      </c>
      <c r="AT37" s="10">
        <f t="shared" ref="AT37" si="100">+AT16/AS16-1</f>
        <v>0.1100000000000001</v>
      </c>
      <c r="AU37" s="10">
        <f t="shared" ref="AU37" si="101">+AU16/AT16-1</f>
        <v>0.1100000000000001</v>
      </c>
      <c r="AV37" s="10">
        <f t="shared" ref="AV37" si="102">+AV16/AU16-1</f>
        <v>0.1100000000000001</v>
      </c>
      <c r="AW37" s="10">
        <f t="shared" ref="AW37" si="103">+AW16/AV16-1</f>
        <v>0.1100000000000001</v>
      </c>
      <c r="AY37" s="2" t="s">
        <v>135</v>
      </c>
      <c r="AZ37" s="6">
        <f>+AZ35/AZ36-1</f>
        <v>0.15427822627192245</v>
      </c>
    </row>
    <row r="38" spans="1:58" s="10" customFormat="1">
      <c r="BE38" s="2"/>
      <c r="BF38" s="2"/>
    </row>
    <row r="39" spans="1:58" s="6" customFormat="1">
      <c r="T39" s="6">
        <f>+SUM(Q24:T24)/T40</f>
        <v>3.6124248401739667E-2</v>
      </c>
      <c r="BE39" s="2"/>
      <c r="BF39" s="2"/>
    </row>
    <row r="40" spans="1:58">
      <c r="A40" s="2" t="s">
        <v>40</v>
      </c>
      <c r="J40" s="2">
        <f t="shared" ref="J40:R40" si="104">+J41-J53</f>
        <v>43890</v>
      </c>
      <c r="K40" s="2">
        <f t="shared" si="104"/>
        <v>40489</v>
      </c>
      <c r="L40" s="2">
        <f t="shared" si="104"/>
        <v>31854</v>
      </c>
      <c r="M40" s="2">
        <f t="shared" si="104"/>
        <v>30815</v>
      </c>
      <c r="N40" s="2">
        <f t="shared" si="104"/>
        <v>27514</v>
      </c>
      <c r="O40" s="2">
        <f t="shared" si="104"/>
        <v>35064</v>
      </c>
      <c r="P40" s="2">
        <f t="shared" si="104"/>
        <v>42740</v>
      </c>
      <c r="Q40" s="2">
        <f t="shared" si="104"/>
        <v>47018</v>
      </c>
      <c r="R40" s="2">
        <f t="shared" si="104"/>
        <v>39733</v>
      </c>
      <c r="S40" s="2">
        <f t="shared" ref="S40:T40" si="105">+S41-S53</f>
        <v>39691</v>
      </c>
      <c r="T40" s="2">
        <f t="shared" si="105"/>
        <v>42077</v>
      </c>
      <c r="U40" s="2">
        <f t="shared" ref="U40" si="106">+U41-U53</f>
        <v>48989</v>
      </c>
      <c r="AK40" s="6"/>
      <c r="AL40" s="2">
        <f>+T40</f>
        <v>42077</v>
      </c>
      <c r="AM40" s="2">
        <f>+U40</f>
        <v>48989</v>
      </c>
      <c r="AN40" s="2">
        <f>+AM40+AN27</f>
        <v>110826.51999999999</v>
      </c>
      <c r="AO40" s="2">
        <f t="shared" ref="AO40:AW40" si="107">+AN40+AO27</f>
        <v>179384.06208</v>
      </c>
      <c r="AP40" s="2">
        <f t="shared" si="107"/>
        <v>254728.15665376006</v>
      </c>
      <c r="AQ40" s="2">
        <f t="shared" si="107"/>
        <v>336765.10603266442</v>
      </c>
      <c r="AR40" s="2">
        <f t="shared" si="107"/>
        <v>428827.1064190421</v>
      </c>
      <c r="AS40" s="2">
        <f t="shared" si="107"/>
        <v>531718.48871041613</v>
      </c>
      <c r="AT40" s="2">
        <f t="shared" si="107"/>
        <v>646264.01927710592</v>
      </c>
      <c r="AU40" s="2">
        <f t="shared" si="107"/>
        <v>773299.69548845442</v>
      </c>
      <c r="AV40" s="2">
        <f t="shared" si="107"/>
        <v>913660.73519276071</v>
      </c>
      <c r="AW40" s="2">
        <f t="shared" si="107"/>
        <v>1075485.5101769532</v>
      </c>
    </row>
    <row r="41" spans="1:58">
      <c r="A41" s="2" t="s">
        <v>6</v>
      </c>
      <c r="J41" s="2">
        <f>14886+29004</f>
        <v>43890</v>
      </c>
      <c r="K41" s="2">
        <f>12681+27808</f>
        <v>40489</v>
      </c>
      <c r="L41" s="2">
        <f>14308+27468</f>
        <v>41776</v>
      </c>
      <c r="M41" s="2">
        <f>14681+26057</f>
        <v>40738</v>
      </c>
      <c r="N41" s="2">
        <f>11551+25888</f>
        <v>37439</v>
      </c>
      <c r="O41" s="2">
        <f>28785+24661</f>
        <v>53446</v>
      </c>
      <c r="P41" s="2">
        <f>36890+24233</f>
        <v>61123</v>
      </c>
      <c r="Q41" s="2">
        <f>41862+23541</f>
        <v>65403</v>
      </c>
      <c r="R41" s="2">
        <f>32307+25813</f>
        <v>58120</v>
      </c>
      <c r="S41" s="2">
        <f>32045+26035</f>
        <v>58080</v>
      </c>
      <c r="T41" s="2">
        <f>43852+27048</f>
        <v>70900</v>
      </c>
      <c r="U41" s="2">
        <f>43889+33926</f>
        <v>77815</v>
      </c>
    </row>
    <row r="42" spans="1:58">
      <c r="A42" s="2" t="s">
        <v>46</v>
      </c>
      <c r="J42" s="2">
        <v>11390</v>
      </c>
      <c r="K42" s="2">
        <v>11525</v>
      </c>
      <c r="L42" s="2">
        <v>11227</v>
      </c>
      <c r="M42" s="2">
        <v>13466</v>
      </c>
      <c r="N42" s="2">
        <v>11044</v>
      </c>
      <c r="O42" s="2">
        <v>12511</v>
      </c>
      <c r="P42" s="2">
        <v>12944</v>
      </c>
      <c r="Q42" s="2">
        <v>16169</v>
      </c>
      <c r="R42" s="2">
        <v>13430</v>
      </c>
      <c r="S42" s="2">
        <v>14505</v>
      </c>
      <c r="T42" s="2">
        <v>14700</v>
      </c>
      <c r="U42" s="2">
        <v>16994</v>
      </c>
    </row>
    <row r="43" spans="1:58">
      <c r="A43" s="2" t="s">
        <v>47</v>
      </c>
      <c r="J43" s="2">
        <v>3985</v>
      </c>
      <c r="K43" s="2">
        <v>3973</v>
      </c>
      <c r="L43" s="2">
        <v>5312</v>
      </c>
      <c r="M43" s="2">
        <v>5345</v>
      </c>
      <c r="N43" s="2">
        <v>4000</v>
      </c>
      <c r="O43" s="2">
        <v>3603</v>
      </c>
      <c r="P43" s="2">
        <v>4311</v>
      </c>
      <c r="Q43" s="2">
        <v>3793</v>
      </c>
      <c r="R43" s="2">
        <v>3780</v>
      </c>
      <c r="S43" s="2">
        <v>3846</v>
      </c>
      <c r="T43" s="2">
        <v>5467</v>
      </c>
      <c r="U43" s="2">
        <v>5236</v>
      </c>
    </row>
    <row r="44" spans="1:58">
      <c r="A44" s="2" t="s">
        <v>76</v>
      </c>
      <c r="J44" s="2">
        <v>6775</v>
      </c>
      <c r="K44" s="2">
        <v>6536</v>
      </c>
      <c r="L44" s="2">
        <v>6528</v>
      </c>
      <c r="M44" s="2">
        <v>6201</v>
      </c>
      <c r="N44" s="2">
        <v>6167</v>
      </c>
      <c r="O44" s="2">
        <v>6208</v>
      </c>
      <c r="P44" s="2">
        <v>6142</v>
      </c>
      <c r="Q44" s="2">
        <v>6141</v>
      </c>
      <c r="R44" s="2">
        <v>6218</v>
      </c>
      <c r="S44" s="2">
        <v>6207</v>
      </c>
      <c r="T44" s="2">
        <v>6071</v>
      </c>
      <c r="U44" s="2">
        <v>6070</v>
      </c>
    </row>
    <row r="45" spans="1:58">
      <c r="A45" s="2" t="s">
        <v>48</v>
      </c>
      <c r="J45" s="2">
        <v>61582</v>
      </c>
      <c r="K45" s="2">
        <v>67588</v>
      </c>
      <c r="L45" s="2">
        <v>73738</v>
      </c>
      <c r="M45" s="2">
        <v>79518</v>
      </c>
      <c r="N45" s="2">
        <v>84156</v>
      </c>
      <c r="O45" s="2">
        <v>87949</v>
      </c>
      <c r="P45" s="2">
        <v>91772</v>
      </c>
      <c r="Q45" s="2">
        <v>96587</v>
      </c>
      <c r="R45" s="2">
        <v>98908</v>
      </c>
      <c r="S45" s="2">
        <v>102959</v>
      </c>
      <c r="T45" s="2">
        <v>112162</v>
      </c>
      <c r="U45" s="2">
        <v>121346</v>
      </c>
    </row>
    <row r="46" spans="1:58">
      <c r="A46" s="2" t="s">
        <v>49</v>
      </c>
      <c r="J46" s="2">
        <v>12241</v>
      </c>
      <c r="K46" s="2">
        <v>14130</v>
      </c>
      <c r="L46" s="2">
        <v>13641</v>
      </c>
      <c r="M46" s="2">
        <v>12673</v>
      </c>
      <c r="N46" s="2">
        <v>12899</v>
      </c>
      <c r="O46" s="2">
        <v>12955</v>
      </c>
      <c r="P46" s="2">
        <v>13033</v>
      </c>
      <c r="Q46" s="2">
        <v>13294</v>
      </c>
      <c r="R46" s="2">
        <v>13555</v>
      </c>
      <c r="S46" s="2">
        <v>14058</v>
      </c>
      <c r="T46" s="2">
        <v>14812</v>
      </c>
      <c r="U46" s="2">
        <v>14922</v>
      </c>
      <c r="BE46" s="9"/>
      <c r="BF46" s="9"/>
    </row>
    <row r="47" spans="1:58">
      <c r="A47" s="2" t="s">
        <v>50</v>
      </c>
      <c r="J47" s="2">
        <f>910+19923</f>
        <v>20833</v>
      </c>
      <c r="K47" s="2">
        <f>965+20229</f>
        <v>21194</v>
      </c>
      <c r="L47" s="2">
        <f>875+20268</f>
        <v>21143</v>
      </c>
      <c r="M47" s="2">
        <f>897+20306</f>
        <v>21203</v>
      </c>
      <c r="N47" s="2">
        <f>949+20649</f>
        <v>21598</v>
      </c>
      <c r="O47" s="2">
        <f>856+20659</f>
        <v>21515</v>
      </c>
      <c r="P47" s="2">
        <f>813+20668</f>
        <v>21481</v>
      </c>
      <c r="Q47" s="2">
        <f>788+20654</f>
        <v>21442</v>
      </c>
      <c r="R47" s="2">
        <v>20654</v>
      </c>
      <c r="S47" s="2">
        <v>20654</v>
      </c>
      <c r="T47" s="2">
        <v>20654</v>
      </c>
      <c r="U47" s="2">
        <v>20654</v>
      </c>
    </row>
    <row r="48" spans="1:58">
      <c r="A48" s="2" t="s">
        <v>51</v>
      </c>
      <c r="J48" s="2">
        <v>3522</v>
      </c>
      <c r="K48" s="2">
        <v>4344</v>
      </c>
      <c r="L48" s="2">
        <v>5529</v>
      </c>
      <c r="M48" s="2">
        <v>6583</v>
      </c>
      <c r="N48" s="2">
        <v>7188</v>
      </c>
      <c r="O48" s="2">
        <v>8501</v>
      </c>
      <c r="P48" s="2">
        <v>5468</v>
      </c>
      <c r="Q48" s="2">
        <v>6794</v>
      </c>
      <c r="R48" s="2">
        <v>8179</v>
      </c>
      <c r="S48" s="2">
        <v>9929</v>
      </c>
      <c r="T48" s="2">
        <v>11642</v>
      </c>
      <c r="U48" s="2">
        <v>13017</v>
      </c>
    </row>
    <row r="49" spans="1:58" s="9" customFormat="1">
      <c r="A49" s="9" t="s">
        <v>44</v>
      </c>
      <c r="J49" s="9">
        <f t="shared" ref="J49:R49" si="108">+SUM(J41:J48)</f>
        <v>164218</v>
      </c>
      <c r="K49" s="9">
        <f t="shared" si="108"/>
        <v>169779</v>
      </c>
      <c r="L49" s="9">
        <f t="shared" si="108"/>
        <v>178894</v>
      </c>
      <c r="M49" s="9">
        <f t="shared" si="108"/>
        <v>185727</v>
      </c>
      <c r="N49" s="9">
        <f t="shared" si="108"/>
        <v>184491</v>
      </c>
      <c r="O49" s="9">
        <f t="shared" si="108"/>
        <v>206688</v>
      </c>
      <c r="P49" s="9">
        <f t="shared" si="108"/>
        <v>216274</v>
      </c>
      <c r="Q49" s="9">
        <f t="shared" si="108"/>
        <v>229623</v>
      </c>
      <c r="R49" s="9">
        <f t="shared" si="108"/>
        <v>222844</v>
      </c>
      <c r="S49" s="9">
        <f t="shared" ref="S49:T49" si="109">+SUM(S41:S48)</f>
        <v>230238</v>
      </c>
      <c r="T49" s="9">
        <f t="shared" si="109"/>
        <v>256408</v>
      </c>
      <c r="U49" s="9">
        <f t="shared" ref="U49" si="110">+SUM(U41:U48)</f>
        <v>276054</v>
      </c>
      <c r="BE49" s="2"/>
      <c r="BF49" s="2"/>
    </row>
    <row r="50" spans="1:58">
      <c r="A50" s="2" t="s">
        <v>45</v>
      </c>
      <c r="J50" s="2">
        <v>3246</v>
      </c>
      <c r="K50" s="2">
        <v>4008</v>
      </c>
      <c r="L50" s="2">
        <v>3871</v>
      </c>
      <c r="M50" s="2">
        <v>4990</v>
      </c>
      <c r="N50" s="2">
        <v>3672</v>
      </c>
      <c r="O50" s="2">
        <v>3093</v>
      </c>
      <c r="P50" s="2">
        <v>4372</v>
      </c>
      <c r="Q50" s="2">
        <v>4849</v>
      </c>
      <c r="R50" s="2">
        <v>3785</v>
      </c>
      <c r="S50" s="2">
        <v>3173</v>
      </c>
      <c r="T50" s="2">
        <v>7656</v>
      </c>
      <c r="U50" s="2">
        <v>7687</v>
      </c>
    </row>
    <row r="51" spans="1:58">
      <c r="A51" s="2" t="s">
        <v>49</v>
      </c>
      <c r="J51" s="2">
        <f>1159+12894</f>
        <v>14053</v>
      </c>
      <c r="K51" s="2">
        <f>1275+14792</f>
        <v>16067</v>
      </c>
      <c r="L51" s="2">
        <f>1291+14687</f>
        <v>15978</v>
      </c>
      <c r="M51" s="2">
        <f>1367+15301</f>
        <v>16668</v>
      </c>
      <c r="N51" s="2">
        <f>1479+16171</f>
        <v>17650</v>
      </c>
      <c r="O51" s="2">
        <f>1396+16440</f>
        <v>17836</v>
      </c>
      <c r="P51" s="2">
        <f>1460+16374</f>
        <v>17834</v>
      </c>
      <c r="Q51" s="2">
        <f>1623+17226</f>
        <v>18849</v>
      </c>
      <c r="R51" s="2">
        <f>1676+17570</f>
        <v>19246</v>
      </c>
      <c r="S51" s="2">
        <f>1917+17685</f>
        <v>19602</v>
      </c>
      <c r="T51" s="2">
        <f>2016+18208</f>
        <v>20224</v>
      </c>
      <c r="U51" s="2">
        <f>1942+18292</f>
        <v>20234</v>
      </c>
    </row>
    <row r="52" spans="1:58">
      <c r="A52" s="2" t="s">
        <v>53</v>
      </c>
      <c r="J52" s="2">
        <v>16681</v>
      </c>
      <c r="K52" s="2">
        <v>16934</v>
      </c>
      <c r="L52" s="2">
        <v>17525</v>
      </c>
      <c r="M52" s="2">
        <v>20669</v>
      </c>
      <c r="N52" s="2">
        <v>20230</v>
      </c>
      <c r="O52" s="2">
        <v>25432</v>
      </c>
      <c r="P52" s="2">
        <v>24699</v>
      </c>
      <c r="Q52" s="2">
        <v>25488</v>
      </c>
      <c r="R52" s="2">
        <v>22640</v>
      </c>
      <c r="S52" s="2">
        <v>21914</v>
      </c>
      <c r="T52" s="2">
        <v>23658</v>
      </c>
      <c r="U52" s="2">
        <v>23967</v>
      </c>
    </row>
    <row r="53" spans="1:58">
      <c r="A53" s="2" t="s">
        <v>7</v>
      </c>
      <c r="J53" s="2">
        <v>0</v>
      </c>
      <c r="K53" s="2">
        <v>0</v>
      </c>
      <c r="L53" s="2">
        <v>9922</v>
      </c>
      <c r="M53" s="2">
        <v>9923</v>
      </c>
      <c r="N53" s="2">
        <v>9925</v>
      </c>
      <c r="O53" s="2">
        <v>18382</v>
      </c>
      <c r="P53" s="2">
        <v>18383</v>
      </c>
      <c r="Q53" s="2">
        <v>18385</v>
      </c>
      <c r="R53" s="2">
        <v>18387</v>
      </c>
      <c r="S53" s="2">
        <v>18389</v>
      </c>
      <c r="T53" s="2">
        <v>28823</v>
      </c>
      <c r="U53" s="2">
        <v>28826</v>
      </c>
      <c r="BE53" s="9"/>
      <c r="BF53" s="9"/>
    </row>
    <row r="54" spans="1:58">
      <c r="A54" s="2" t="s">
        <v>19</v>
      </c>
      <c r="J54" s="2">
        <v>5897</v>
      </c>
      <c r="K54" s="2">
        <v>5843</v>
      </c>
      <c r="L54" s="2">
        <v>6393</v>
      </c>
      <c r="M54" s="2">
        <v>6645</v>
      </c>
      <c r="N54" s="2">
        <v>6946</v>
      </c>
      <c r="O54" s="2">
        <v>6570</v>
      </c>
      <c r="P54" s="2">
        <v>6832</v>
      </c>
      <c r="Q54" s="2">
        <v>7514</v>
      </c>
      <c r="R54" s="2">
        <v>7795</v>
      </c>
      <c r="S54" s="2">
        <v>7897</v>
      </c>
      <c r="T54" s="2">
        <v>9171</v>
      </c>
      <c r="U54" s="2">
        <v>9987</v>
      </c>
    </row>
    <row r="55" spans="1:58">
      <c r="A55" s="2" t="s">
        <v>51</v>
      </c>
      <c r="J55" s="2">
        <v>1113</v>
      </c>
      <c r="K55" s="2">
        <v>1160</v>
      </c>
      <c r="L55" s="2">
        <v>1111</v>
      </c>
      <c r="M55" s="2">
        <v>1119</v>
      </c>
      <c r="N55" s="2">
        <v>1273</v>
      </c>
      <c r="O55" s="2">
        <v>1342</v>
      </c>
      <c r="P55" s="2">
        <v>1281</v>
      </c>
      <c r="Q55" s="2">
        <v>1370</v>
      </c>
      <c r="R55" s="2">
        <v>1462</v>
      </c>
      <c r="S55" s="2">
        <v>2500</v>
      </c>
      <c r="T55" s="2">
        <v>2347</v>
      </c>
      <c r="U55" s="2">
        <v>2716</v>
      </c>
    </row>
    <row r="56" spans="1:58" s="9" customFormat="1">
      <c r="A56" s="9" t="s">
        <v>43</v>
      </c>
      <c r="J56" s="9">
        <f t="shared" ref="J56:R56" si="111">+SUM(J50:J55)</f>
        <v>40990</v>
      </c>
      <c r="K56" s="9">
        <f t="shared" si="111"/>
        <v>44012</v>
      </c>
      <c r="L56" s="9">
        <f t="shared" si="111"/>
        <v>54800</v>
      </c>
      <c r="M56" s="9">
        <f t="shared" si="111"/>
        <v>60014</v>
      </c>
      <c r="N56" s="9">
        <f t="shared" si="111"/>
        <v>59696</v>
      </c>
      <c r="O56" s="9">
        <f t="shared" si="111"/>
        <v>72655</v>
      </c>
      <c r="P56" s="9">
        <f t="shared" si="111"/>
        <v>73401</v>
      </c>
      <c r="Q56" s="9">
        <f t="shared" si="111"/>
        <v>76455</v>
      </c>
      <c r="R56" s="9">
        <f t="shared" si="111"/>
        <v>73315</v>
      </c>
      <c r="S56" s="9">
        <f t="shared" ref="S56:T56" si="112">+SUM(S50:S55)</f>
        <v>73475</v>
      </c>
      <c r="T56" s="9">
        <f t="shared" si="112"/>
        <v>91879</v>
      </c>
      <c r="U56" s="9">
        <f t="shared" ref="U56" si="113">+SUM(U50:U55)</f>
        <v>93417</v>
      </c>
      <c r="BE56" s="2"/>
      <c r="BF56" s="2"/>
    </row>
    <row r="57" spans="1:58">
      <c r="A57" s="2" t="s">
        <v>42</v>
      </c>
      <c r="J57" s="2">
        <f t="shared" ref="J57:R57" si="114">+J49-J56</f>
        <v>123228</v>
      </c>
      <c r="K57" s="2">
        <f t="shared" si="114"/>
        <v>125767</v>
      </c>
      <c r="L57" s="2">
        <f t="shared" si="114"/>
        <v>124094</v>
      </c>
      <c r="M57" s="2">
        <f t="shared" si="114"/>
        <v>125713</v>
      </c>
      <c r="N57" s="2">
        <f t="shared" si="114"/>
        <v>124795</v>
      </c>
      <c r="O57" s="2">
        <f t="shared" si="114"/>
        <v>134033</v>
      </c>
      <c r="P57" s="2">
        <f t="shared" si="114"/>
        <v>142873</v>
      </c>
      <c r="Q57" s="2">
        <f t="shared" si="114"/>
        <v>153168</v>
      </c>
      <c r="R57" s="2">
        <f t="shared" si="114"/>
        <v>149529</v>
      </c>
      <c r="S57" s="2">
        <f t="shared" ref="S57" si="115">+S49-S56</f>
        <v>156763</v>
      </c>
      <c r="T57" s="2">
        <v>164529</v>
      </c>
      <c r="U57" s="2">
        <v>182637</v>
      </c>
    </row>
    <row r="58" spans="1:58">
      <c r="A58" s="2" t="s">
        <v>41</v>
      </c>
      <c r="J58" s="2">
        <f t="shared" ref="J58:R58" si="116">+J57+J56</f>
        <v>164218</v>
      </c>
      <c r="K58" s="2">
        <f t="shared" si="116"/>
        <v>169779</v>
      </c>
      <c r="L58" s="2">
        <f t="shared" si="116"/>
        <v>178894</v>
      </c>
      <c r="M58" s="2">
        <f t="shared" si="116"/>
        <v>185727</v>
      </c>
      <c r="N58" s="2">
        <f t="shared" si="116"/>
        <v>184491</v>
      </c>
      <c r="O58" s="2">
        <f t="shared" si="116"/>
        <v>206688</v>
      </c>
      <c r="P58" s="2">
        <f t="shared" si="116"/>
        <v>216274</v>
      </c>
      <c r="Q58" s="2">
        <f t="shared" si="116"/>
        <v>229623</v>
      </c>
      <c r="R58" s="2">
        <f t="shared" si="116"/>
        <v>222844</v>
      </c>
      <c r="S58" s="2">
        <f t="shared" ref="S58" si="117">+S57+S56</f>
        <v>230238</v>
      </c>
      <c r="T58" s="2">
        <f>+T57+T56</f>
        <v>256408</v>
      </c>
      <c r="U58" s="2">
        <f>+U57+U56</f>
        <v>276054</v>
      </c>
      <c r="BE58" s="6"/>
      <c r="BF58" s="6"/>
    </row>
    <row r="60" spans="1:58">
      <c r="A60" s="2" t="s">
        <v>95</v>
      </c>
      <c r="M60" s="2">
        <f t="shared" ref="M60:S60" si="118">+SUM(J27:M27)</f>
        <v>23199</v>
      </c>
      <c r="N60" s="2">
        <f t="shared" si="118"/>
        <v>21443</v>
      </c>
      <c r="O60" s="2">
        <f t="shared" si="118"/>
        <v>22544</v>
      </c>
      <c r="P60" s="2">
        <f t="shared" si="118"/>
        <v>29732</v>
      </c>
      <c r="Q60" s="2">
        <f t="shared" si="118"/>
        <v>39097</v>
      </c>
      <c r="R60" s="2">
        <f t="shared" si="118"/>
        <v>45757</v>
      </c>
      <c r="S60" s="2">
        <f t="shared" si="118"/>
        <v>51434</v>
      </c>
      <c r="T60" s="2">
        <f>+SUM(Q27:T27)</f>
        <v>55539</v>
      </c>
      <c r="U60" s="2">
        <f>+SUM(R27:U27)</f>
        <v>60876.4</v>
      </c>
      <c r="BE60" s="6"/>
      <c r="BF60" s="6"/>
    </row>
    <row r="61" spans="1:58" s="6" customFormat="1">
      <c r="A61" s="6" t="s">
        <v>96</v>
      </c>
      <c r="M61" s="6">
        <f t="shared" ref="M61:S61" si="119">+M60/(M42+M43+M44+M45+M46+M48)</f>
        <v>0.18741214676942466</v>
      </c>
      <c r="N61" s="6">
        <f t="shared" si="119"/>
        <v>0.17092320691249382</v>
      </c>
      <c r="O61" s="6">
        <f t="shared" si="119"/>
        <v>0.1711418312115208</v>
      </c>
      <c r="P61" s="6">
        <f t="shared" si="119"/>
        <v>0.2224283683698661</v>
      </c>
      <c r="Q61" s="6">
        <f t="shared" si="119"/>
        <v>0.27383070220902378</v>
      </c>
      <c r="R61" s="6">
        <f t="shared" si="119"/>
        <v>0.31760255431387518</v>
      </c>
      <c r="S61" s="6">
        <f t="shared" si="119"/>
        <v>0.33948938641884041</v>
      </c>
      <c r="T61" s="6">
        <f>+T60/(T42+T43+T44+T45+T46+T48)</f>
        <v>0.33689810377667512</v>
      </c>
      <c r="U61" s="6">
        <f>+U60/(U42+U43+U44+U45+U46+U48)</f>
        <v>0.34280147534983246</v>
      </c>
      <c r="BE61" s="2"/>
      <c r="BF61" s="2"/>
    </row>
    <row r="62" spans="1:58">
      <c r="A62" s="2" t="s">
        <v>93</v>
      </c>
      <c r="J62" s="2">
        <f t="shared" ref="J62:S62" si="120">+J23*(1-J34)</f>
        <v>7143.2038616973514</v>
      </c>
      <c r="K62" s="2">
        <f t="shared" si="120"/>
        <v>6827.5037869533344</v>
      </c>
      <c r="L62" s="2">
        <f t="shared" si="120"/>
        <v>4464.3615494978476</v>
      </c>
      <c r="M62" s="2">
        <f t="shared" si="120"/>
        <v>4841.1364449503981</v>
      </c>
      <c r="N62" s="2">
        <f t="shared" si="120"/>
        <v>5646.4955522102091</v>
      </c>
      <c r="O62" s="2">
        <f t="shared" si="120"/>
        <v>7870.9669643817924</v>
      </c>
      <c r="P62" s="2">
        <f t="shared" si="120"/>
        <v>11358.279885877317</v>
      </c>
      <c r="Q62" s="2">
        <f t="shared" si="120"/>
        <v>13663.405997144217</v>
      </c>
      <c r="R62" s="2">
        <f t="shared" si="120"/>
        <v>12050.683353310302</v>
      </c>
      <c r="S62" s="2">
        <f t="shared" si="120"/>
        <v>13234.135773864691</v>
      </c>
      <c r="T62" s="2">
        <f>+T23*(1-T34)</f>
        <v>15272.517113679722</v>
      </c>
      <c r="U62" s="2">
        <f>+U23*(1-U34)</f>
        <v>20672.548828125</v>
      </c>
    </row>
    <row r="63" spans="1:58" s="6" customFormat="1">
      <c r="A63" s="6" t="s">
        <v>94</v>
      </c>
      <c r="J63" s="6">
        <f t="shared" ref="J63:S63" si="121">+J62/(J57-J40)</f>
        <v>9.0035088629627058E-2</v>
      </c>
      <c r="K63" s="6">
        <f t="shared" si="121"/>
        <v>8.0061725028182346E-2</v>
      </c>
      <c r="L63" s="6">
        <f t="shared" si="121"/>
        <v>4.8399409686663571E-2</v>
      </c>
      <c r="M63" s="6">
        <f t="shared" si="121"/>
        <v>5.1014104037497079E-2</v>
      </c>
      <c r="N63" s="6">
        <f t="shared" si="121"/>
        <v>5.8043148736240467E-2</v>
      </c>
      <c r="O63" s="6">
        <f t="shared" si="121"/>
        <v>7.9529620026288966E-2</v>
      </c>
      <c r="P63" s="6">
        <f t="shared" si="121"/>
        <v>0.11343193438603974</v>
      </c>
      <c r="Q63" s="6">
        <f t="shared" si="121"/>
        <v>0.12871790859297425</v>
      </c>
      <c r="R63" s="6">
        <f t="shared" si="121"/>
        <v>0.1097552128794337</v>
      </c>
      <c r="S63" s="6">
        <f t="shared" si="121"/>
        <v>0.11304270682882919</v>
      </c>
      <c r="T63" s="6">
        <f>+T62/(T57-T40)</f>
        <v>0.12472247994054586</v>
      </c>
      <c r="U63" s="6">
        <f>+U62/(U57-U40)</f>
        <v>0.154679073597248</v>
      </c>
      <c r="BE63" s="2"/>
      <c r="BF63" s="2"/>
    </row>
    <row r="65" spans="1:58">
      <c r="A65" s="2" t="s">
        <v>54</v>
      </c>
      <c r="J65" s="2">
        <f t="shared" ref="J65:Q65" si="122">+J27</f>
        <v>7465</v>
      </c>
      <c r="K65" s="2">
        <f t="shared" si="122"/>
        <v>6687</v>
      </c>
      <c r="L65" s="2">
        <f t="shared" si="122"/>
        <v>4395</v>
      </c>
      <c r="M65" s="2">
        <f t="shared" si="122"/>
        <v>4652</v>
      </c>
      <c r="N65" s="2">
        <f t="shared" si="122"/>
        <v>5709</v>
      </c>
      <c r="O65" s="2">
        <f t="shared" si="122"/>
        <v>7788</v>
      </c>
      <c r="P65" s="2">
        <f t="shared" si="122"/>
        <v>11583</v>
      </c>
      <c r="Q65" s="2">
        <f t="shared" si="122"/>
        <v>14017</v>
      </c>
      <c r="R65" s="2">
        <f>+R27</f>
        <v>12369</v>
      </c>
      <c r="S65" s="2">
        <f>+S27</f>
        <v>13465</v>
      </c>
      <c r="T65" s="2">
        <f>+T27</f>
        <v>15688</v>
      </c>
      <c r="U65" s="2">
        <f>+U27</f>
        <v>19354.400000000001</v>
      </c>
    </row>
    <row r="66" spans="1:58">
      <c r="A66" s="2" t="s">
        <v>55</v>
      </c>
      <c r="J66" s="2">
        <v>7465</v>
      </c>
      <c r="K66" s="2">
        <v>6687</v>
      </c>
      <c r="L66" s="2">
        <v>4395</v>
      </c>
      <c r="M66" s="2">
        <v>4652</v>
      </c>
      <c r="N66" s="2">
        <v>5709</v>
      </c>
      <c r="O66" s="2">
        <f>13498-N66</f>
        <v>7789</v>
      </c>
      <c r="P66" s="2">
        <v>11583</v>
      </c>
      <c r="Q66" s="2">
        <v>14017</v>
      </c>
      <c r="R66" s="2">
        <v>12369</v>
      </c>
      <c r="S66" s="2">
        <v>13465</v>
      </c>
      <c r="T66" s="2">
        <v>15688</v>
      </c>
      <c r="U66" s="2">
        <f>62360-SUM(R66:T66)</f>
        <v>20838</v>
      </c>
    </row>
    <row r="67" spans="1:58">
      <c r="A67" s="2" t="s">
        <v>69</v>
      </c>
      <c r="J67" s="2">
        <v>2156</v>
      </c>
      <c r="K67" s="2">
        <v>1979</v>
      </c>
      <c r="L67" s="2">
        <v>2175</v>
      </c>
      <c r="M67" s="2">
        <v>2376</v>
      </c>
      <c r="N67" s="2">
        <v>2524</v>
      </c>
      <c r="O67" s="2">
        <v>2623</v>
      </c>
      <c r="P67" s="2">
        <v>2858</v>
      </c>
      <c r="Q67" s="2">
        <v>3172</v>
      </c>
      <c r="R67" s="2">
        <v>3374</v>
      </c>
      <c r="S67" s="2">
        <v>3637</v>
      </c>
      <c r="T67" s="2">
        <v>4027</v>
      </c>
      <c r="U67" s="2">
        <f>15498-SUM(R67:T67)</f>
        <v>4460</v>
      </c>
    </row>
    <row r="68" spans="1:58">
      <c r="A68" s="2" t="s">
        <v>70</v>
      </c>
      <c r="J68" s="2">
        <v>2498</v>
      </c>
      <c r="K68" s="2">
        <v>3351</v>
      </c>
      <c r="L68" s="2">
        <v>3134</v>
      </c>
      <c r="M68" s="2">
        <v>3008</v>
      </c>
      <c r="N68" s="2">
        <v>3051</v>
      </c>
      <c r="O68" s="2">
        <v>4060</v>
      </c>
      <c r="P68" s="2">
        <v>3492</v>
      </c>
      <c r="Q68" s="2">
        <v>3424</v>
      </c>
      <c r="R68" s="2">
        <v>3562</v>
      </c>
      <c r="S68" s="2">
        <v>4616</v>
      </c>
      <c r="T68" s="2">
        <v>4250</v>
      </c>
      <c r="U68" s="2">
        <f>16690-SUM(R68:T68)</f>
        <v>4262</v>
      </c>
    </row>
    <row r="69" spans="1:58">
      <c r="A69" s="2" t="s">
        <v>71</v>
      </c>
      <c r="J69" s="2">
        <v>-563</v>
      </c>
      <c r="K69" s="2">
        <v>-453</v>
      </c>
      <c r="L69" s="2">
        <v>-1097</v>
      </c>
      <c r="M69" s="2">
        <v>-1173</v>
      </c>
      <c r="N69" s="2">
        <v>-620</v>
      </c>
      <c r="O69" s="2">
        <v>-1137</v>
      </c>
      <c r="P69" s="2">
        <v>3049</v>
      </c>
      <c r="Q69" s="2">
        <v>-1161</v>
      </c>
      <c r="R69" s="2">
        <v>-456</v>
      </c>
      <c r="S69" s="2">
        <v>-1643</v>
      </c>
      <c r="T69" s="2">
        <v>-1308</v>
      </c>
      <c r="U69" s="2">
        <f>-4738-SUM(R69:T69)</f>
        <v>-1331</v>
      </c>
    </row>
    <row r="70" spans="1:58">
      <c r="A70" s="2" t="s">
        <v>72</v>
      </c>
      <c r="J70" s="2">
        <v>0</v>
      </c>
      <c r="K70" s="2">
        <v>0</v>
      </c>
      <c r="L70" s="2">
        <v>413</v>
      </c>
      <c r="M70" s="2">
        <v>1805</v>
      </c>
      <c r="N70" s="2">
        <v>770</v>
      </c>
      <c r="O70" s="2">
        <v>232</v>
      </c>
      <c r="P70" s="2">
        <v>340</v>
      </c>
      <c r="Q70" s="2">
        <v>1091</v>
      </c>
      <c r="R70" s="2">
        <v>240</v>
      </c>
      <c r="S70" s="2">
        <v>41</v>
      </c>
      <c r="T70" s="2">
        <v>8</v>
      </c>
      <c r="U70" s="2">
        <f>383-SUM(R70:T70)</f>
        <v>94</v>
      </c>
    </row>
    <row r="71" spans="1:58">
      <c r="A71" s="2" t="s">
        <v>51</v>
      </c>
      <c r="J71" s="2">
        <v>-221</v>
      </c>
      <c r="K71" s="2">
        <v>189</v>
      </c>
      <c r="L71" s="2">
        <v>104</v>
      </c>
      <c r="M71" s="2">
        <f>1341+572</f>
        <v>1913</v>
      </c>
      <c r="N71" s="2">
        <v>-7</v>
      </c>
      <c r="O71" s="2">
        <v>212</v>
      </c>
      <c r="P71" s="2">
        <v>75</v>
      </c>
      <c r="Q71" s="2">
        <f>7+124</f>
        <v>131</v>
      </c>
      <c r="R71" s="2">
        <v>-66</v>
      </c>
      <c r="S71" s="2">
        <v>-6</v>
      </c>
      <c r="T71" s="2">
        <v>-11</v>
      </c>
      <c r="U71" s="2">
        <f>87-SUM(R71:T71)</f>
        <v>170</v>
      </c>
    </row>
    <row r="72" spans="1:58">
      <c r="A72" s="2" t="s">
        <v>46</v>
      </c>
      <c r="J72" s="2">
        <v>2557</v>
      </c>
      <c r="K72" s="2">
        <v>-522</v>
      </c>
      <c r="L72" s="2">
        <v>-105</v>
      </c>
      <c r="M72" s="2">
        <v>-1698</v>
      </c>
      <c r="N72" s="2">
        <v>2546</v>
      </c>
      <c r="O72" s="2">
        <v>-1424</v>
      </c>
      <c r="P72" s="2">
        <v>-678</v>
      </c>
      <c r="Q72" s="2">
        <v>-2843</v>
      </c>
      <c r="R72" s="2">
        <v>2520</v>
      </c>
      <c r="S72" s="2">
        <v>-1171</v>
      </c>
      <c r="T72" s="2">
        <v>143</v>
      </c>
      <c r="U72" s="2">
        <f>-1485-SUM(R72:T72)</f>
        <v>-2977</v>
      </c>
    </row>
    <row r="73" spans="1:58">
      <c r="A73" s="2" t="s">
        <v>47</v>
      </c>
      <c r="J73" s="2">
        <v>573</v>
      </c>
      <c r="K73" s="2">
        <v>-435</v>
      </c>
      <c r="L73" s="2">
        <v>-830</v>
      </c>
      <c r="M73" s="2">
        <v>854</v>
      </c>
      <c r="N73" s="2">
        <v>821</v>
      </c>
      <c r="O73" s="2">
        <v>-54</v>
      </c>
      <c r="P73" s="2">
        <v>-907</v>
      </c>
      <c r="Q73" s="2">
        <v>700</v>
      </c>
      <c r="R73" s="2">
        <v>100</v>
      </c>
      <c r="S73" s="2">
        <v>-84</v>
      </c>
      <c r="T73" s="2">
        <v>-184</v>
      </c>
      <c r="U73" s="2">
        <f>-698-SUM(R73:T73)</f>
        <v>-530</v>
      </c>
    </row>
    <row r="74" spans="1:58">
      <c r="A74" s="2" t="s">
        <v>73</v>
      </c>
      <c r="J74" s="2">
        <v>-108</v>
      </c>
      <c r="K74" s="2">
        <v>-25</v>
      </c>
      <c r="L74" s="2">
        <v>-27</v>
      </c>
      <c r="M74" s="2">
        <v>54</v>
      </c>
      <c r="N74" s="2">
        <v>30</v>
      </c>
      <c r="O74" s="2">
        <v>37</v>
      </c>
      <c r="P74" s="2">
        <v>-36</v>
      </c>
      <c r="Q74" s="2">
        <v>-111</v>
      </c>
      <c r="R74" s="2">
        <v>-94</v>
      </c>
      <c r="S74" s="2">
        <v>54</v>
      </c>
      <c r="T74" s="2">
        <v>-29</v>
      </c>
      <c r="U74" s="2">
        <f>-270-SUM(R74:T74)</f>
        <v>-201</v>
      </c>
    </row>
    <row r="75" spans="1:58">
      <c r="A75" s="2" t="s">
        <v>45</v>
      </c>
      <c r="J75" s="2">
        <v>-882</v>
      </c>
      <c r="K75" s="2">
        <v>237</v>
      </c>
      <c r="L75" s="2">
        <v>-22</v>
      </c>
      <c r="M75" s="2">
        <v>876</v>
      </c>
      <c r="N75" s="2">
        <v>-1104</v>
      </c>
      <c r="O75" s="2">
        <v>-51</v>
      </c>
      <c r="P75" s="2">
        <v>611</v>
      </c>
      <c r="Q75" s="2">
        <v>595</v>
      </c>
      <c r="R75" s="2">
        <v>-1112</v>
      </c>
      <c r="S75" s="2">
        <v>250</v>
      </c>
      <c r="T75" s="2">
        <v>667</v>
      </c>
      <c r="U75" s="2">
        <f>373-SUM(R75:T75)</f>
        <v>568</v>
      </c>
    </row>
    <row r="76" spans="1:58">
      <c r="A76" s="2" t="s">
        <v>52</v>
      </c>
      <c r="J76" s="2">
        <v>-105</v>
      </c>
      <c r="K76" s="2">
        <v>73</v>
      </c>
      <c r="L76" s="2">
        <v>20</v>
      </c>
      <c r="M76" s="2">
        <v>102</v>
      </c>
      <c r="N76" s="2">
        <v>-240</v>
      </c>
      <c r="O76" s="2">
        <v>-116</v>
      </c>
      <c r="P76" s="2">
        <v>9</v>
      </c>
      <c r="Q76" s="2">
        <v>76</v>
      </c>
      <c r="R76" s="2">
        <v>0</v>
      </c>
      <c r="S76" s="2">
        <v>0</v>
      </c>
      <c r="T76" s="2">
        <v>0</v>
      </c>
      <c r="U76" s="2">
        <v>0</v>
      </c>
    </row>
    <row r="77" spans="1:58">
      <c r="A77" s="2" t="s">
        <v>53</v>
      </c>
      <c r="J77" s="2">
        <v>763</v>
      </c>
      <c r="K77" s="2">
        <v>1180</v>
      </c>
      <c r="L77" s="2">
        <v>998</v>
      </c>
      <c r="M77" s="2">
        <v>1303</v>
      </c>
      <c r="N77" s="2">
        <v>334</v>
      </c>
      <c r="O77" s="2">
        <v>5290</v>
      </c>
      <c r="P77" s="2">
        <v>78</v>
      </c>
      <c r="Q77" s="2">
        <v>-350</v>
      </c>
      <c r="R77" s="2">
        <v>-1274</v>
      </c>
      <c r="S77" s="2">
        <v>-497</v>
      </c>
      <c r="T77" s="2">
        <v>572</v>
      </c>
      <c r="U77" s="2">
        <f>323-SUM(R77:T77)</f>
        <v>1522</v>
      </c>
      <c r="BE77" s="9"/>
      <c r="BF77" s="9"/>
    </row>
    <row r="78" spans="1:58">
      <c r="A78" s="2" t="s">
        <v>74</v>
      </c>
      <c r="J78" s="2">
        <v>-57</v>
      </c>
      <c r="K78" s="2">
        <v>-64</v>
      </c>
      <c r="L78" s="2">
        <v>533</v>
      </c>
      <c r="M78" s="2">
        <v>439</v>
      </c>
      <c r="N78" s="2">
        <v>184</v>
      </c>
      <c r="O78" s="2">
        <v>-151</v>
      </c>
      <c r="P78" s="2">
        <v>-72</v>
      </c>
      <c r="Q78" s="2">
        <v>663</v>
      </c>
      <c r="R78" s="2">
        <v>83</v>
      </c>
      <c r="S78" s="2">
        <v>708</v>
      </c>
      <c r="T78" s="2">
        <v>901</v>
      </c>
      <c r="U78" s="2">
        <f>2805-SUM(R78:T78)</f>
        <v>1113</v>
      </c>
    </row>
    <row r="79" spans="1:58">
      <c r="A79" s="2" t="s">
        <v>68</v>
      </c>
      <c r="J79" s="2">
        <f t="shared" ref="J79:R79" si="123">+SUM(J72:J78)</f>
        <v>2741</v>
      </c>
      <c r="K79" s="2">
        <f t="shared" si="123"/>
        <v>444</v>
      </c>
      <c r="L79" s="2">
        <f t="shared" si="123"/>
        <v>567</v>
      </c>
      <c r="M79" s="2">
        <f t="shared" si="123"/>
        <v>1930</v>
      </c>
      <c r="N79" s="2">
        <f t="shared" si="123"/>
        <v>2571</v>
      </c>
      <c r="O79" s="2">
        <f t="shared" si="123"/>
        <v>3531</v>
      </c>
      <c r="P79" s="2">
        <f t="shared" si="123"/>
        <v>-995</v>
      </c>
      <c r="Q79" s="2">
        <f t="shared" si="123"/>
        <v>-1270</v>
      </c>
      <c r="R79" s="2">
        <f t="shared" si="123"/>
        <v>223</v>
      </c>
      <c r="S79" s="2">
        <f>+SUM(S72:S78)</f>
        <v>-740</v>
      </c>
      <c r="T79" s="2">
        <f>+SUM(T72:T78)</f>
        <v>2070</v>
      </c>
      <c r="U79" s="2">
        <f>+SUM(U72:U78)</f>
        <v>-505</v>
      </c>
      <c r="BE79" s="9"/>
      <c r="BF79" s="9"/>
    </row>
    <row r="80" spans="1:58" s="9" customFormat="1">
      <c r="A80" s="9" t="s">
        <v>60</v>
      </c>
      <c r="J80" s="9">
        <f t="shared" ref="J80:R80" si="124">+SUM(J66:J71)+J79</f>
        <v>14076</v>
      </c>
      <c r="K80" s="9">
        <f t="shared" si="124"/>
        <v>12197</v>
      </c>
      <c r="L80" s="9">
        <f t="shared" si="124"/>
        <v>9691</v>
      </c>
      <c r="M80" s="9">
        <f t="shared" si="124"/>
        <v>14511</v>
      </c>
      <c r="N80" s="9">
        <f t="shared" si="124"/>
        <v>13998</v>
      </c>
      <c r="O80" s="9">
        <f t="shared" si="124"/>
        <v>17310</v>
      </c>
      <c r="P80" s="9">
        <f t="shared" si="124"/>
        <v>20402</v>
      </c>
      <c r="Q80" s="9">
        <f t="shared" si="124"/>
        <v>19404</v>
      </c>
      <c r="R80" s="9">
        <f t="shared" si="124"/>
        <v>19246</v>
      </c>
      <c r="S80" s="9">
        <f t="shared" ref="S80:T80" si="125">+SUM(S66:S71)+S79</f>
        <v>19370</v>
      </c>
      <c r="T80" s="9">
        <f t="shared" si="125"/>
        <v>24724</v>
      </c>
      <c r="U80" s="9">
        <f t="shared" ref="U80" si="126">+SUM(U66:U71)+U79</f>
        <v>27988</v>
      </c>
      <c r="AM80" s="9">
        <f>+SUM(R80:U80)</f>
        <v>91328</v>
      </c>
      <c r="BE80" s="2"/>
      <c r="BF80" s="2"/>
    </row>
    <row r="82" spans="1:58" s="9" customFormat="1">
      <c r="A82" s="9" t="s">
        <v>56</v>
      </c>
      <c r="J82" s="9">
        <f>-5441+126</f>
        <v>-5315</v>
      </c>
      <c r="K82" s="9">
        <f>-7572+44</f>
        <v>-7528</v>
      </c>
      <c r="L82" s="9">
        <f>-9375+20</f>
        <v>-9355</v>
      </c>
      <c r="M82" s="9">
        <f>-9043+55</f>
        <v>-8988</v>
      </c>
      <c r="N82" s="9">
        <f>-6842+19</f>
        <v>-6823</v>
      </c>
      <c r="O82" s="9">
        <f>-6216+82</f>
        <v>-6134</v>
      </c>
      <c r="P82" s="9">
        <f>-6543+47</f>
        <v>-6496</v>
      </c>
      <c r="Q82" s="9">
        <f>-7665+73</f>
        <v>-7592</v>
      </c>
      <c r="R82" s="9">
        <v>-6400</v>
      </c>
      <c r="S82" s="9">
        <f>-14573-R82</f>
        <v>-8173</v>
      </c>
      <c r="T82" s="9">
        <f>-22831-SUM(R82:S82)</f>
        <v>-8258</v>
      </c>
      <c r="U82" s="9">
        <f>-37256-SUM(R82:T82)</f>
        <v>-14425</v>
      </c>
      <c r="AM82" s="9">
        <v>-37256</v>
      </c>
      <c r="AN82" s="9">
        <v>-65000</v>
      </c>
      <c r="BE82" s="2"/>
      <c r="BF82" s="2"/>
    </row>
    <row r="83" spans="1:58">
      <c r="A83" s="2" t="s">
        <v>57</v>
      </c>
      <c r="J83" s="2">
        <f>+-4068+5467</f>
        <v>1399</v>
      </c>
      <c r="K83" s="2">
        <f>-2220+3159</f>
        <v>939</v>
      </c>
      <c r="L83" s="2">
        <f>-2597+2269</f>
        <v>-328</v>
      </c>
      <c r="M83" s="2">
        <f>-741+2263</f>
        <v>1522</v>
      </c>
      <c r="N83" s="2">
        <f>-85+534</f>
        <v>449</v>
      </c>
      <c r="O83" s="2">
        <f>-717+1816</f>
        <v>1099</v>
      </c>
      <c r="P83" s="2">
        <f>-1008+1475</f>
        <v>467</v>
      </c>
      <c r="Q83" s="2">
        <f>+-1171+2359</f>
        <v>1188</v>
      </c>
      <c r="R83" s="2">
        <f>-6887+4625</f>
        <v>-2262</v>
      </c>
      <c r="S83" s="2">
        <f>-10176+7858-R83</f>
        <v>-56</v>
      </c>
      <c r="T83" s="2">
        <f>-14644+11972-SUM(R83:S83)</f>
        <v>-354</v>
      </c>
      <c r="U83" s="2">
        <f>-25542+15789-SUM(R83:T83)</f>
        <v>-7081</v>
      </c>
    </row>
    <row r="84" spans="1:58">
      <c r="A84" s="2" t="s">
        <v>58</v>
      </c>
      <c r="J84" s="2">
        <v>-853</v>
      </c>
      <c r="K84" s="2">
        <v>-363</v>
      </c>
      <c r="L84" s="2">
        <v>-34</v>
      </c>
      <c r="M84" s="2">
        <v>-62</v>
      </c>
      <c r="N84" s="2">
        <v>-444</v>
      </c>
      <c r="O84" s="2">
        <v>-83</v>
      </c>
      <c r="P84" s="2">
        <v>-38</v>
      </c>
      <c r="Q84" s="2">
        <v>-64</v>
      </c>
      <c r="R84" s="2">
        <v>-72</v>
      </c>
      <c r="S84" s="2">
        <f>-129-R84</f>
        <v>-57</v>
      </c>
      <c r="T84" s="2">
        <f>-261-SUM(R84:S84)</f>
        <v>-132</v>
      </c>
      <c r="U84" s="2">
        <f>-270-SUM(R84:T84)</f>
        <v>-9</v>
      </c>
    </row>
    <row r="85" spans="1:58">
      <c r="A85" s="2" t="s">
        <v>51</v>
      </c>
      <c r="R85" s="2">
        <v>0</v>
      </c>
      <c r="S85" s="2">
        <f>-12-R85</f>
        <v>-12</v>
      </c>
      <c r="T85" s="2">
        <f>112-SUM(R85:S85)</f>
        <v>124</v>
      </c>
      <c r="U85" s="2">
        <f>129-SUM(R85:T85)</f>
        <v>17</v>
      </c>
    </row>
    <row r="86" spans="1:58">
      <c r="A86" s="2" t="s">
        <v>59</v>
      </c>
      <c r="J86" s="2">
        <f t="shared" ref="J86:Q86" si="127">SUM(J82:J84)</f>
        <v>-4769</v>
      </c>
      <c r="K86" s="2">
        <f t="shared" si="127"/>
        <v>-6952</v>
      </c>
      <c r="L86" s="2">
        <f t="shared" si="127"/>
        <v>-9717</v>
      </c>
      <c r="M86" s="2">
        <f t="shared" si="127"/>
        <v>-7528</v>
      </c>
      <c r="N86" s="2">
        <f t="shared" si="127"/>
        <v>-6818</v>
      </c>
      <c r="O86" s="2">
        <f t="shared" si="127"/>
        <v>-5118</v>
      </c>
      <c r="P86" s="2">
        <f t="shared" si="127"/>
        <v>-6067</v>
      </c>
      <c r="Q86" s="2">
        <f t="shared" si="127"/>
        <v>-6468</v>
      </c>
      <c r="R86" s="2">
        <f>SUM(R82:R85)</f>
        <v>-8734</v>
      </c>
      <c r="S86" s="2">
        <f>SUM(S82:S85)</f>
        <v>-8298</v>
      </c>
      <c r="T86" s="2">
        <f>SUM(T82:T85)</f>
        <v>-8620</v>
      </c>
      <c r="U86" s="2">
        <f>SUM(U82:U85)</f>
        <v>-21498</v>
      </c>
      <c r="BE86" s="9"/>
      <c r="BF86" s="9"/>
    </row>
    <row r="88" spans="1:58">
      <c r="A88" s="2" t="s">
        <v>61</v>
      </c>
      <c r="J88" s="2">
        <v>-925</v>
      </c>
      <c r="K88" s="2">
        <v>-1002</v>
      </c>
      <c r="L88" s="2">
        <v>-1011</v>
      </c>
      <c r="M88" s="2">
        <v>-656</v>
      </c>
      <c r="N88" s="2">
        <v>-1009</v>
      </c>
      <c r="O88" s="2">
        <v>-1692</v>
      </c>
      <c r="P88" s="2">
        <v>-2087</v>
      </c>
      <c r="Q88" s="2">
        <v>-2223</v>
      </c>
      <c r="R88" s="2">
        <v>-3162</v>
      </c>
      <c r="S88" s="2">
        <v>-3208</v>
      </c>
      <c r="T88" s="2">
        <v>-3544</v>
      </c>
      <c r="U88" s="2">
        <f>-13770-SUM(R88:T88)</f>
        <v>-3856</v>
      </c>
    </row>
    <row r="89" spans="1:58">
      <c r="A89" s="2" t="s">
        <v>62</v>
      </c>
      <c r="J89" s="2">
        <v>-9506</v>
      </c>
      <c r="K89" s="2">
        <v>-5233</v>
      </c>
      <c r="L89" s="2">
        <v>-6354</v>
      </c>
      <c r="M89" s="2">
        <v>-6863</v>
      </c>
      <c r="N89" s="2">
        <v>-9365</v>
      </c>
      <c r="O89" s="2">
        <v>-898</v>
      </c>
      <c r="P89" s="2">
        <v>-3570</v>
      </c>
      <c r="Q89" s="2">
        <v>-5942</v>
      </c>
      <c r="R89" s="2">
        <v>-15008</v>
      </c>
      <c r="S89" s="2">
        <v>-6299</v>
      </c>
      <c r="T89" s="2">
        <v>-8818</v>
      </c>
      <c r="U89" s="2">
        <f>-30125-SUM(R89:T89)</f>
        <v>0</v>
      </c>
    </row>
    <row r="90" spans="1:58">
      <c r="A90" s="2" t="s">
        <v>83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-1273</v>
      </c>
      <c r="S90" s="2">
        <v>-1266</v>
      </c>
      <c r="T90" s="2">
        <v>-1263</v>
      </c>
      <c r="U90" s="2">
        <f>-5072-SUM(R90:T90)</f>
        <v>-1270</v>
      </c>
    </row>
    <row r="91" spans="1:58">
      <c r="A91" s="2" t="s">
        <v>75</v>
      </c>
      <c r="L91" s="2">
        <v>9921</v>
      </c>
      <c r="M91" s="2">
        <v>0</v>
      </c>
      <c r="O91" s="2">
        <v>8455</v>
      </c>
      <c r="P91" s="2">
        <v>0</v>
      </c>
      <c r="Q91" s="2">
        <v>0</v>
      </c>
      <c r="R91" s="2">
        <v>0</v>
      </c>
      <c r="S91" s="2">
        <v>0</v>
      </c>
      <c r="T91" s="2">
        <v>10432</v>
      </c>
      <c r="U91" s="2">
        <f>10432-SUM(R91:T91)</f>
        <v>0</v>
      </c>
    </row>
    <row r="92" spans="1:58">
      <c r="A92" s="2" t="s">
        <v>84</v>
      </c>
      <c r="J92" s="2">
        <v>-233</v>
      </c>
      <c r="K92" s="2">
        <v>-219</v>
      </c>
      <c r="L92" s="2">
        <v>-163</v>
      </c>
      <c r="M92" s="2">
        <v>-235</v>
      </c>
      <c r="N92" s="2">
        <v>-264</v>
      </c>
      <c r="O92" s="2">
        <v>-220</v>
      </c>
      <c r="P92" s="2">
        <v>-267</v>
      </c>
      <c r="Q92" s="2">
        <v>-307</v>
      </c>
      <c r="R92" s="2">
        <v>-315</v>
      </c>
      <c r="S92" s="2">
        <v>-299</v>
      </c>
      <c r="T92" s="2">
        <v>-944</v>
      </c>
      <c r="U92" s="2">
        <f>-1969-SUM(R92:T92)</f>
        <v>-411</v>
      </c>
    </row>
    <row r="93" spans="1:58">
      <c r="A93" s="2" t="s">
        <v>51</v>
      </c>
      <c r="J93" s="2">
        <v>4</v>
      </c>
      <c r="K93" s="2">
        <v>-109</v>
      </c>
      <c r="L93" s="2">
        <v>-246</v>
      </c>
      <c r="M93" s="2">
        <v>695</v>
      </c>
      <c r="N93" s="2">
        <v>122</v>
      </c>
      <c r="O93" s="2">
        <v>-353</v>
      </c>
      <c r="P93" s="2">
        <v>49</v>
      </c>
      <c r="Q93" s="2">
        <v>71</v>
      </c>
      <c r="R93" s="2">
        <v>-9</v>
      </c>
      <c r="S93" s="2">
        <v>-106</v>
      </c>
      <c r="T93" s="2">
        <v>-234</v>
      </c>
      <c r="U93" s="2">
        <f>-277-SUM(R93:T93)</f>
        <v>72</v>
      </c>
    </row>
    <row r="94" spans="1:58">
      <c r="A94" s="2" t="s">
        <v>63</v>
      </c>
      <c r="J94" s="2">
        <f t="shared" ref="J94:Q94" si="128">SUM(J88:J93)</f>
        <v>-10660</v>
      </c>
      <c r="K94" s="2">
        <f t="shared" si="128"/>
        <v>-6563</v>
      </c>
      <c r="L94" s="2">
        <f t="shared" si="128"/>
        <v>2147</v>
      </c>
      <c r="M94" s="2">
        <f t="shared" si="128"/>
        <v>-7059</v>
      </c>
      <c r="N94" s="2">
        <f t="shared" si="128"/>
        <v>-10516</v>
      </c>
      <c r="O94" s="2">
        <f t="shared" si="128"/>
        <v>5292</v>
      </c>
      <c r="P94" s="2">
        <f t="shared" si="128"/>
        <v>-5875</v>
      </c>
      <c r="Q94" s="2">
        <f t="shared" si="128"/>
        <v>-8401</v>
      </c>
      <c r="R94" s="2">
        <f>SUM(R88:R93)</f>
        <v>-19767</v>
      </c>
      <c r="S94" s="2">
        <f>SUM(S88:S93)</f>
        <v>-11178</v>
      </c>
      <c r="T94" s="2">
        <f>SUM(T88:T93)</f>
        <v>-4371</v>
      </c>
      <c r="U94" s="2">
        <f>SUM(U88:U93)</f>
        <v>-5465</v>
      </c>
    </row>
    <row r="96" spans="1:58">
      <c r="A96" s="2" t="s">
        <v>64</v>
      </c>
      <c r="J96" s="2">
        <v>-149</v>
      </c>
      <c r="K96" s="2">
        <v>-14</v>
      </c>
      <c r="L96" s="2">
        <v>-354</v>
      </c>
      <c r="M96" s="2">
        <v>396</v>
      </c>
      <c r="N96" s="2">
        <v>85</v>
      </c>
      <c r="O96" s="2">
        <v>-14</v>
      </c>
      <c r="P96" s="2">
        <v>-354</v>
      </c>
      <c r="Q96" s="2">
        <v>396</v>
      </c>
      <c r="R96" s="2">
        <v>-288</v>
      </c>
      <c r="S96" s="2">
        <v>-152</v>
      </c>
      <c r="T96" s="2">
        <v>368</v>
      </c>
      <c r="U96" s="2">
        <f>-786-SUM(R96:T96)</f>
        <v>-714</v>
      </c>
    </row>
    <row r="97" spans="1:58">
      <c r="A97" s="2" t="s">
        <v>65</v>
      </c>
      <c r="J97" s="2">
        <f t="shared" ref="J97:U97" si="129">+J80+J86+J94+J96</f>
        <v>-1502</v>
      </c>
      <c r="K97" s="2">
        <f t="shared" si="129"/>
        <v>-1332</v>
      </c>
      <c r="L97" s="2">
        <f t="shared" si="129"/>
        <v>1767</v>
      </c>
      <c r="M97" s="2">
        <f t="shared" si="129"/>
        <v>320</v>
      </c>
      <c r="N97" s="2">
        <f t="shared" si="129"/>
        <v>-3251</v>
      </c>
      <c r="O97" s="2">
        <f t="shared" si="129"/>
        <v>17470</v>
      </c>
      <c r="P97" s="2">
        <f t="shared" si="129"/>
        <v>8106</v>
      </c>
      <c r="Q97" s="2">
        <f t="shared" si="129"/>
        <v>4931</v>
      </c>
      <c r="R97" s="2">
        <f t="shared" si="129"/>
        <v>-9543</v>
      </c>
      <c r="S97" s="2">
        <f t="shared" si="129"/>
        <v>-258</v>
      </c>
      <c r="T97" s="2">
        <f t="shared" si="129"/>
        <v>12101</v>
      </c>
      <c r="U97" s="2">
        <f t="shared" si="129"/>
        <v>311</v>
      </c>
    </row>
    <row r="99" spans="1:58" s="9" customFormat="1">
      <c r="A99" s="9" t="s">
        <v>66</v>
      </c>
      <c r="J99" s="9">
        <f t="shared" ref="J99:Q99" si="130">+J80+J82</f>
        <v>8761</v>
      </c>
      <c r="K99" s="9">
        <f t="shared" si="130"/>
        <v>4669</v>
      </c>
      <c r="L99" s="9">
        <f t="shared" si="130"/>
        <v>336</v>
      </c>
      <c r="M99" s="9">
        <f t="shared" si="130"/>
        <v>5523</v>
      </c>
      <c r="N99" s="9">
        <f t="shared" si="130"/>
        <v>7175</v>
      </c>
      <c r="O99" s="9">
        <f t="shared" si="130"/>
        <v>11176</v>
      </c>
      <c r="P99" s="9">
        <f t="shared" si="130"/>
        <v>13906</v>
      </c>
      <c r="Q99" s="9">
        <f t="shared" si="130"/>
        <v>11812</v>
      </c>
      <c r="R99" s="9">
        <f>+R80+R82</f>
        <v>12846</v>
      </c>
      <c r="S99" s="9">
        <f>+S80+S82</f>
        <v>11197</v>
      </c>
      <c r="T99" s="9">
        <f>+T80+T82</f>
        <v>16466</v>
      </c>
      <c r="U99" s="9">
        <f>+U80+U82</f>
        <v>13563</v>
      </c>
      <c r="AM99" s="9">
        <f>+AM80+AM82</f>
        <v>54072</v>
      </c>
    </row>
    <row r="100" spans="1:58">
      <c r="A100" s="2" t="s">
        <v>67</v>
      </c>
      <c r="J100" s="2">
        <f>+SUM(G99:J99)</f>
        <v>8761</v>
      </c>
      <c r="K100" s="2">
        <f t="shared" ref="K100:O100" si="131">+SUM(H99:K99)</f>
        <v>13430</v>
      </c>
      <c r="L100" s="2">
        <f t="shared" si="131"/>
        <v>13766</v>
      </c>
      <c r="M100" s="2">
        <f t="shared" si="131"/>
        <v>19289</v>
      </c>
      <c r="N100" s="2">
        <f t="shared" si="131"/>
        <v>17703</v>
      </c>
      <c r="O100" s="2">
        <f t="shared" si="131"/>
        <v>24210</v>
      </c>
      <c r="P100" s="2">
        <f t="shared" ref="P100:U100" si="132">+SUM(M99:P99)</f>
        <v>37780</v>
      </c>
      <c r="Q100" s="2">
        <f t="shared" si="132"/>
        <v>44069</v>
      </c>
      <c r="R100" s="2">
        <f t="shared" si="132"/>
        <v>49740</v>
      </c>
      <c r="S100" s="2">
        <f t="shared" si="132"/>
        <v>49761</v>
      </c>
      <c r="T100" s="2">
        <f t="shared" si="132"/>
        <v>52321</v>
      </c>
      <c r="U100" s="2">
        <f t="shared" si="132"/>
        <v>54072</v>
      </c>
    </row>
    <row r="101" spans="1:58">
      <c r="A101" s="2" t="s">
        <v>91</v>
      </c>
      <c r="J101" s="2">
        <f t="shared" ref="J101:S101" si="133">+J99-J68</f>
        <v>6263</v>
      </c>
      <c r="K101" s="2">
        <f t="shared" si="133"/>
        <v>1318</v>
      </c>
      <c r="L101" s="2">
        <f t="shared" si="133"/>
        <v>-2798</v>
      </c>
      <c r="M101" s="2">
        <f t="shared" si="133"/>
        <v>2515</v>
      </c>
      <c r="N101" s="2">
        <f t="shared" si="133"/>
        <v>4124</v>
      </c>
      <c r="O101" s="2">
        <f t="shared" si="133"/>
        <v>7116</v>
      </c>
      <c r="P101" s="2">
        <f t="shared" si="133"/>
        <v>10414</v>
      </c>
      <c r="Q101" s="2">
        <f t="shared" si="133"/>
        <v>8388</v>
      </c>
      <c r="R101" s="2">
        <f t="shared" si="133"/>
        <v>9284</v>
      </c>
      <c r="S101" s="2">
        <f t="shared" si="133"/>
        <v>6581</v>
      </c>
      <c r="T101" s="2">
        <f>+T99-T68</f>
        <v>12216</v>
      </c>
      <c r="U101" s="2">
        <f>+U99-U68</f>
        <v>9301</v>
      </c>
    </row>
    <row r="102" spans="1:58">
      <c r="A102" s="2" t="s">
        <v>92</v>
      </c>
      <c r="M102" s="2">
        <f t="shared" ref="M102:S102" si="134">+SUM(J101:M101)</f>
        <v>7298</v>
      </c>
      <c r="N102" s="2">
        <f t="shared" si="134"/>
        <v>5159</v>
      </c>
      <c r="O102" s="2">
        <f t="shared" si="134"/>
        <v>10957</v>
      </c>
      <c r="P102" s="2">
        <f t="shared" si="134"/>
        <v>24169</v>
      </c>
      <c r="Q102" s="2">
        <f t="shared" si="134"/>
        <v>30042</v>
      </c>
      <c r="R102" s="2">
        <f t="shared" si="134"/>
        <v>35202</v>
      </c>
      <c r="S102" s="2">
        <f t="shared" si="134"/>
        <v>34667</v>
      </c>
      <c r="T102" s="2">
        <f>+SUM(Q101:T101)</f>
        <v>36469</v>
      </c>
      <c r="U102" s="2">
        <f>+SUM(R101:U101)</f>
        <v>37382</v>
      </c>
      <c r="BE102" s="6"/>
      <c r="BF102" s="6"/>
    </row>
    <row r="104" spans="1:58" s="13" customFormat="1">
      <c r="A104" s="13" t="s">
        <v>145</v>
      </c>
      <c r="AM104" s="13">
        <f>+Main!M9/Model!AM99</f>
        <v>23.494141515017013</v>
      </c>
    </row>
    <row r="106" spans="1:58">
      <c r="A106" s="2" t="s">
        <v>127</v>
      </c>
      <c r="T106" s="2">
        <v>72404</v>
      </c>
      <c r="U106" s="2">
        <v>74067</v>
      </c>
    </row>
    <row r="107" spans="1:58" s="6" customFormat="1">
      <c r="A107" s="6" t="s">
        <v>126</v>
      </c>
      <c r="T107" s="6">
        <v>0.09</v>
      </c>
      <c r="U107" s="6">
        <f>+U106/T106-1</f>
        <v>2.2968344290370757E-2</v>
      </c>
      <c r="BE107" s="2"/>
      <c r="BF107" s="2"/>
    </row>
  </sheetData>
  <pageMargins left="0.7" right="0.7" top="0.75" bottom="0.75" header="0.3" footer="0.3"/>
  <ignoredErrors>
    <ignoredError sqref="J79:J80 N79:N80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2024-04-23T05:35:21Z</dcterms:created>
  <dcterms:modified xsi:type="dcterms:W3CDTF">2025-04-24T05:09:41Z</dcterms:modified>
</cp:coreProperties>
</file>