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Main\"/>
    </mc:Choice>
  </mc:AlternateContent>
  <xr:revisionPtr revIDLastSave="0" documentId="13_ncr:1_{4A430A35-0120-4D67-962A-2B31331E66F1}" xr6:coauthVersionLast="47" xr6:coauthVersionMax="47" xr10:uidLastSave="{00000000-0000-0000-0000-000000000000}"/>
  <bookViews>
    <workbookView xWindow="-120" yWindow="-120" windowWidth="29040" windowHeight="15840" activeTab="1" xr2:uid="{CA744B72-1AE1-4605-A3EB-9C81E8C0C7AE}"/>
  </bookViews>
  <sheets>
    <sheet name="Main" sheetId="3" r:id="rId1"/>
    <sheet name="Marketcap &gt;=100B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" i="1" l="1"/>
  <c r="R23" i="1"/>
  <c r="P23" i="1"/>
  <c r="H23" i="1"/>
  <c r="J23" i="1"/>
  <c r="N99" i="1"/>
  <c r="P99" i="1"/>
  <c r="R99" i="1"/>
  <c r="H99" i="1"/>
  <c r="J99" i="1"/>
  <c r="N21" i="1" l="1"/>
  <c r="P21" i="1"/>
  <c r="T21" i="1"/>
  <c r="S21" i="1"/>
  <c r="R21" i="1"/>
  <c r="H21" i="1"/>
  <c r="J21" i="1"/>
  <c r="N13" i="1" l="1"/>
  <c r="T13" i="1"/>
  <c r="S13" i="1"/>
  <c r="R13" i="1"/>
  <c r="P13" i="1"/>
  <c r="H13" i="1"/>
  <c r="J13" i="1"/>
  <c r="I92" i="1" l="1"/>
  <c r="W92" i="1" s="1"/>
  <c r="G101" i="1"/>
  <c r="I101" i="1" s="1"/>
  <c r="G100" i="1"/>
  <c r="I100" i="1" s="1"/>
  <c r="G99" i="1"/>
  <c r="I99" i="1" s="1"/>
  <c r="G98" i="1"/>
  <c r="I98" i="1" s="1"/>
  <c r="G97" i="1"/>
  <c r="I97" i="1" s="1"/>
  <c r="G96" i="1"/>
  <c r="I96" i="1" s="1"/>
  <c r="G95" i="1"/>
  <c r="I95" i="1" s="1"/>
  <c r="G94" i="1"/>
  <c r="I94" i="1" s="1"/>
  <c r="O94" i="1" s="1"/>
  <c r="G93" i="1"/>
  <c r="I93" i="1" s="1"/>
  <c r="O93" i="1" s="1"/>
  <c r="G92" i="1"/>
  <c r="G91" i="1"/>
  <c r="I91" i="1" s="1"/>
  <c r="G90" i="1"/>
  <c r="I90" i="1" s="1"/>
  <c r="W90" i="1" s="1"/>
  <c r="G89" i="1"/>
  <c r="I89" i="1" s="1"/>
  <c r="W89" i="1" s="1"/>
  <c r="G88" i="1"/>
  <c r="I88" i="1" s="1"/>
  <c r="G87" i="1"/>
  <c r="I87" i="1" s="1"/>
  <c r="G86" i="1"/>
  <c r="I86" i="1" s="1"/>
  <c r="G85" i="1"/>
  <c r="I85" i="1" s="1"/>
  <c r="G84" i="1"/>
  <c r="I84" i="1" s="1"/>
  <c r="G83" i="1"/>
  <c r="I83" i="1" s="1"/>
  <c r="G82" i="1"/>
  <c r="I82" i="1" s="1"/>
  <c r="O82" i="1" s="1"/>
  <c r="G81" i="1"/>
  <c r="I81" i="1" s="1"/>
  <c r="O81" i="1" s="1"/>
  <c r="G80" i="1"/>
  <c r="I80" i="1" s="1"/>
  <c r="W80" i="1" s="1"/>
  <c r="G79" i="1"/>
  <c r="I79" i="1" s="1"/>
  <c r="G78" i="1"/>
  <c r="I78" i="1" s="1"/>
  <c r="W78" i="1" s="1"/>
  <c r="G77" i="1"/>
  <c r="I77" i="1" s="1"/>
  <c r="W77" i="1" s="1"/>
  <c r="G76" i="1"/>
  <c r="I76" i="1" s="1"/>
  <c r="G75" i="1"/>
  <c r="I75" i="1" s="1"/>
  <c r="G74" i="1"/>
  <c r="I74" i="1" s="1"/>
  <c r="G73" i="1"/>
  <c r="I73" i="1" s="1"/>
  <c r="G72" i="1"/>
  <c r="I72" i="1" s="1"/>
  <c r="G71" i="1"/>
  <c r="I71" i="1" s="1"/>
  <c r="G70" i="1"/>
  <c r="I70" i="1" s="1"/>
  <c r="V70" i="1" s="1"/>
  <c r="G69" i="1"/>
  <c r="I69" i="1" s="1"/>
  <c r="G68" i="1"/>
  <c r="I68" i="1" s="1"/>
  <c r="W68" i="1" s="1"/>
  <c r="G67" i="1"/>
  <c r="I67" i="1" s="1"/>
  <c r="G66" i="1"/>
  <c r="I66" i="1" s="1"/>
  <c r="W66" i="1" s="1"/>
  <c r="G65" i="1"/>
  <c r="I65" i="1" s="1"/>
  <c r="W65" i="1" s="1"/>
  <c r="G64" i="1"/>
  <c r="I64" i="1" s="1"/>
  <c r="G63" i="1"/>
  <c r="I63" i="1" s="1"/>
  <c r="G62" i="1"/>
  <c r="I62" i="1" s="1"/>
  <c r="G61" i="1"/>
  <c r="I61" i="1" s="1"/>
  <c r="G60" i="1"/>
  <c r="I60" i="1" s="1"/>
  <c r="G59" i="1"/>
  <c r="I59" i="1" s="1"/>
  <c r="G58" i="1"/>
  <c r="I58" i="1" s="1"/>
  <c r="O58" i="1" s="1"/>
  <c r="G57" i="1"/>
  <c r="I57" i="1" s="1"/>
  <c r="G56" i="1"/>
  <c r="I56" i="1" s="1"/>
  <c r="W56" i="1" s="1"/>
  <c r="G55" i="1"/>
  <c r="I55" i="1" s="1"/>
  <c r="G54" i="1"/>
  <c r="I54" i="1" s="1"/>
  <c r="U54" i="1" s="1"/>
  <c r="G52" i="1"/>
  <c r="I52" i="1" s="1"/>
  <c r="W52" i="1" s="1"/>
  <c r="G51" i="1"/>
  <c r="I51" i="1" s="1"/>
  <c r="G50" i="1"/>
  <c r="I50" i="1" s="1"/>
  <c r="G49" i="1"/>
  <c r="I49" i="1" s="1"/>
  <c r="G48" i="1"/>
  <c r="I48" i="1" s="1"/>
  <c r="G47" i="1"/>
  <c r="I47" i="1" s="1"/>
  <c r="G46" i="1"/>
  <c r="I46" i="1" s="1"/>
  <c r="G45" i="1"/>
  <c r="I45" i="1" s="1"/>
  <c r="V45" i="1" s="1"/>
  <c r="G44" i="1"/>
  <c r="I44" i="1" s="1"/>
  <c r="G43" i="1"/>
  <c r="I43" i="1" s="1"/>
  <c r="W43" i="1" s="1"/>
  <c r="G42" i="1"/>
  <c r="I42" i="1" s="1"/>
  <c r="G41" i="1"/>
  <c r="I41" i="1" s="1"/>
  <c r="G40" i="1"/>
  <c r="I40" i="1" s="1"/>
  <c r="W40" i="1" s="1"/>
  <c r="G39" i="1"/>
  <c r="I39" i="1" s="1"/>
  <c r="G38" i="1"/>
  <c r="I38" i="1" s="1"/>
  <c r="G37" i="1"/>
  <c r="I37" i="1" s="1"/>
  <c r="G36" i="1"/>
  <c r="I36" i="1" s="1"/>
  <c r="G35" i="1"/>
  <c r="I35" i="1" s="1"/>
  <c r="J53" i="1"/>
  <c r="G53" i="1" s="1"/>
  <c r="O57" i="1" l="1"/>
  <c r="U57" i="1"/>
  <c r="Q57" i="1"/>
  <c r="Q66" i="1"/>
  <c r="O44" i="1"/>
  <c r="U44" i="1"/>
  <c r="Q44" i="1"/>
  <c r="O69" i="1"/>
  <c r="U69" i="1"/>
  <c r="Q69" i="1"/>
  <c r="U41" i="1"/>
  <c r="Q41" i="1"/>
  <c r="Q54" i="1"/>
  <c r="Q78" i="1"/>
  <c r="Q81" i="1"/>
  <c r="U81" i="1"/>
  <c r="Q90" i="1"/>
  <c r="Q93" i="1"/>
  <c r="U93" i="1"/>
  <c r="W83" i="1"/>
  <c r="V83" i="1"/>
  <c r="U83" i="1"/>
  <c r="Q83" i="1"/>
  <c r="O83" i="1"/>
  <c r="W71" i="1"/>
  <c r="V71" i="1"/>
  <c r="U71" i="1"/>
  <c r="Q71" i="1"/>
  <c r="O71" i="1"/>
  <c r="O84" i="1"/>
  <c r="Q84" i="1"/>
  <c r="W84" i="1"/>
  <c r="V84" i="1"/>
  <c r="U84" i="1"/>
  <c r="O97" i="1"/>
  <c r="V97" i="1"/>
  <c r="W97" i="1"/>
  <c r="U97" i="1"/>
  <c r="Q97" i="1"/>
  <c r="O87" i="1"/>
  <c r="W87" i="1"/>
  <c r="Q87" i="1"/>
  <c r="V87" i="1"/>
  <c r="U87" i="1"/>
  <c r="O72" i="1"/>
  <c r="Q72" i="1"/>
  <c r="W72" i="1"/>
  <c r="V72" i="1"/>
  <c r="U72" i="1"/>
  <c r="V48" i="1"/>
  <c r="O48" i="1"/>
  <c r="W48" i="1"/>
  <c r="U48" i="1"/>
  <c r="Q48" i="1"/>
  <c r="O51" i="1"/>
  <c r="W51" i="1"/>
  <c r="V51" i="1"/>
  <c r="U51" i="1"/>
  <c r="Q51" i="1"/>
  <c r="W59" i="1"/>
  <c r="V59" i="1"/>
  <c r="U59" i="1"/>
  <c r="Q59" i="1"/>
  <c r="O59" i="1"/>
  <c r="O60" i="1"/>
  <c r="Q60" i="1"/>
  <c r="W60" i="1"/>
  <c r="U60" i="1"/>
  <c r="V60" i="1"/>
  <c r="V36" i="1"/>
  <c r="O36" i="1"/>
  <c r="W36" i="1"/>
  <c r="U36" i="1"/>
  <c r="Q36" i="1"/>
  <c r="O50" i="1"/>
  <c r="Q50" i="1"/>
  <c r="W50" i="1"/>
  <c r="U50" i="1"/>
  <c r="V50" i="1"/>
  <c r="W46" i="1"/>
  <c r="V46" i="1"/>
  <c r="U46" i="1"/>
  <c r="Q46" i="1"/>
  <c r="O46" i="1"/>
  <c r="W95" i="1"/>
  <c r="V95" i="1"/>
  <c r="U95" i="1"/>
  <c r="Q95" i="1"/>
  <c r="O95" i="1"/>
  <c r="U47" i="1"/>
  <c r="O47" i="1"/>
  <c r="W47" i="1"/>
  <c r="V47" i="1"/>
  <c r="Q47" i="1"/>
  <c r="O96" i="1"/>
  <c r="U96" i="1"/>
  <c r="Q96" i="1"/>
  <c r="W96" i="1"/>
  <c r="V96" i="1"/>
  <c r="W62" i="1"/>
  <c r="O62" i="1"/>
  <c r="V62" i="1"/>
  <c r="U62" i="1"/>
  <c r="Q62" i="1"/>
  <c r="W86" i="1"/>
  <c r="O86" i="1"/>
  <c r="V86" i="1"/>
  <c r="U86" i="1"/>
  <c r="Q86" i="1"/>
  <c r="O63" i="1"/>
  <c r="U63" i="1"/>
  <c r="W63" i="1"/>
  <c r="Q63" i="1"/>
  <c r="V63" i="1"/>
  <c r="U35" i="1"/>
  <c r="O35" i="1"/>
  <c r="Q35" i="1"/>
  <c r="W35" i="1"/>
  <c r="V35" i="1"/>
  <c r="V73" i="1"/>
  <c r="O73" i="1"/>
  <c r="W73" i="1"/>
  <c r="U73" i="1"/>
  <c r="Q73" i="1"/>
  <c r="W37" i="1"/>
  <c r="O37" i="1"/>
  <c r="V37" i="1"/>
  <c r="U37" i="1"/>
  <c r="Q37" i="1"/>
  <c r="W98" i="1"/>
  <c r="O98" i="1"/>
  <c r="V98" i="1"/>
  <c r="U98" i="1"/>
  <c r="Q98" i="1"/>
  <c r="O38" i="1"/>
  <c r="Q38" i="1"/>
  <c r="U38" i="1"/>
  <c r="W38" i="1"/>
  <c r="V38" i="1"/>
  <c r="O75" i="1"/>
  <c r="Q75" i="1"/>
  <c r="U75" i="1"/>
  <c r="W75" i="1"/>
  <c r="V75" i="1"/>
  <c r="O64" i="1"/>
  <c r="V64" i="1"/>
  <c r="W64" i="1"/>
  <c r="U64" i="1"/>
  <c r="Q64" i="1"/>
  <c r="O88" i="1"/>
  <c r="V88" i="1"/>
  <c r="W88" i="1"/>
  <c r="U88" i="1"/>
  <c r="Q88" i="1"/>
  <c r="O101" i="1"/>
  <c r="W101" i="1"/>
  <c r="V101" i="1"/>
  <c r="U101" i="1"/>
  <c r="Q101" i="1"/>
  <c r="W67" i="1"/>
  <c r="V67" i="1"/>
  <c r="U67" i="1"/>
  <c r="Q67" i="1"/>
  <c r="O67" i="1"/>
  <c r="O85" i="1"/>
  <c r="V85" i="1"/>
  <c r="W85" i="1"/>
  <c r="U85" i="1"/>
  <c r="Q85" i="1"/>
  <c r="W74" i="1"/>
  <c r="O74" i="1"/>
  <c r="V74" i="1"/>
  <c r="U74" i="1"/>
  <c r="Q74" i="1"/>
  <c r="O39" i="1"/>
  <c r="V39" i="1"/>
  <c r="W39" i="1"/>
  <c r="U39" i="1"/>
  <c r="Q39" i="1"/>
  <c r="O76" i="1"/>
  <c r="V76" i="1"/>
  <c r="W76" i="1"/>
  <c r="U76" i="1"/>
  <c r="Q76" i="1"/>
  <c r="O100" i="1"/>
  <c r="Q100" i="1"/>
  <c r="W100" i="1"/>
  <c r="U100" i="1"/>
  <c r="V100" i="1"/>
  <c r="V55" i="1"/>
  <c r="W55" i="1"/>
  <c r="U55" i="1"/>
  <c r="Q55" i="1"/>
  <c r="O55" i="1"/>
  <c r="V91" i="1"/>
  <c r="W91" i="1"/>
  <c r="U91" i="1"/>
  <c r="Q91" i="1"/>
  <c r="O91" i="1"/>
  <c r="O61" i="1"/>
  <c r="V61" i="1"/>
  <c r="W61" i="1"/>
  <c r="U61" i="1"/>
  <c r="Q61" i="1"/>
  <c r="W49" i="1"/>
  <c r="O49" i="1"/>
  <c r="V49" i="1"/>
  <c r="U49" i="1"/>
  <c r="Q49" i="1"/>
  <c r="V42" i="1"/>
  <c r="W42" i="1"/>
  <c r="U42" i="1"/>
  <c r="Q42" i="1"/>
  <c r="O42" i="1"/>
  <c r="V79" i="1"/>
  <c r="W79" i="1"/>
  <c r="U79" i="1"/>
  <c r="Q79" i="1"/>
  <c r="O79" i="1"/>
  <c r="U66" i="1"/>
  <c r="U90" i="1"/>
  <c r="O40" i="1"/>
  <c r="O65" i="1"/>
  <c r="O89" i="1"/>
  <c r="V41" i="1"/>
  <c r="V44" i="1"/>
  <c r="V54" i="1"/>
  <c r="V57" i="1"/>
  <c r="V66" i="1"/>
  <c r="V69" i="1"/>
  <c r="V78" i="1"/>
  <c r="V81" i="1"/>
  <c r="V90" i="1"/>
  <c r="V93" i="1"/>
  <c r="O41" i="1"/>
  <c r="O54" i="1"/>
  <c r="O66" i="1"/>
  <c r="O78" i="1"/>
  <c r="O90" i="1"/>
  <c r="U78" i="1"/>
  <c r="O52" i="1"/>
  <c r="O77" i="1"/>
  <c r="W41" i="1"/>
  <c r="W44" i="1"/>
  <c r="W54" i="1"/>
  <c r="W57" i="1"/>
  <c r="W69" i="1"/>
  <c r="W81" i="1"/>
  <c r="W93" i="1"/>
  <c r="Q45" i="1"/>
  <c r="Q58" i="1"/>
  <c r="Q70" i="1"/>
  <c r="Q82" i="1"/>
  <c r="Q94" i="1"/>
  <c r="O43" i="1"/>
  <c r="O56" i="1"/>
  <c r="O68" i="1"/>
  <c r="O80" i="1"/>
  <c r="O92" i="1"/>
  <c r="U45" i="1"/>
  <c r="U58" i="1"/>
  <c r="U70" i="1"/>
  <c r="U82" i="1"/>
  <c r="U94" i="1"/>
  <c r="V82" i="1"/>
  <c r="O70" i="1"/>
  <c r="W45" i="1"/>
  <c r="W58" i="1"/>
  <c r="W70" i="1"/>
  <c r="W82" i="1"/>
  <c r="W94" i="1"/>
  <c r="O45" i="1"/>
  <c r="Q40" i="1"/>
  <c r="Q43" i="1"/>
  <c r="Q52" i="1"/>
  <c r="Q56" i="1"/>
  <c r="Q65" i="1"/>
  <c r="Q68" i="1"/>
  <c r="Q77" i="1"/>
  <c r="Q80" i="1"/>
  <c r="Q89" i="1"/>
  <c r="Q92" i="1"/>
  <c r="U40" i="1"/>
  <c r="U43" i="1"/>
  <c r="U52" i="1"/>
  <c r="U56" i="1"/>
  <c r="U65" i="1"/>
  <c r="U68" i="1"/>
  <c r="U77" i="1"/>
  <c r="U80" i="1"/>
  <c r="U89" i="1"/>
  <c r="U92" i="1"/>
  <c r="V58" i="1"/>
  <c r="V40" i="1"/>
  <c r="V43" i="1"/>
  <c r="V52" i="1"/>
  <c r="V56" i="1"/>
  <c r="V65" i="1"/>
  <c r="V68" i="1"/>
  <c r="V77" i="1"/>
  <c r="V80" i="1"/>
  <c r="V89" i="1"/>
  <c r="V92" i="1"/>
  <c r="V94" i="1"/>
  <c r="W99" i="1"/>
  <c r="O99" i="1"/>
  <c r="V99" i="1"/>
  <c r="U99" i="1"/>
  <c r="Q99" i="1"/>
  <c r="N53" i="1"/>
  <c r="R53" i="1"/>
  <c r="H53" i="1" l="1"/>
  <c r="I53" i="1" s="1"/>
  <c r="U53" i="1" s="1"/>
  <c r="P53" i="1"/>
  <c r="O53" i="1" l="1"/>
  <c r="Q53" i="1"/>
  <c r="S53" i="1"/>
  <c r="V53" i="1" s="1"/>
  <c r="T53" i="1" l="1"/>
  <c r="W53" i="1" s="1"/>
  <c r="N20" i="1" l="1"/>
  <c r="P20" i="1"/>
  <c r="H20" i="1"/>
  <c r="J20" i="1"/>
  <c r="N10" i="1"/>
  <c r="R10" i="1"/>
  <c r="P10" i="1"/>
  <c r="H10" i="1"/>
  <c r="J10" i="1"/>
  <c r="P17" i="1" l="1"/>
  <c r="N17" i="1"/>
  <c r="N12" i="1" l="1"/>
  <c r="P12" i="1"/>
  <c r="J12" i="1"/>
  <c r="H12" i="1"/>
  <c r="R28" i="1" l="1"/>
  <c r="P28" i="1"/>
  <c r="H28" i="1"/>
  <c r="J28" i="1"/>
  <c r="R17" i="1" l="1"/>
  <c r="H17" i="1"/>
  <c r="J17" i="1"/>
  <c r="S20" i="1" l="1"/>
  <c r="R20" i="1"/>
  <c r="H18" i="1" l="1"/>
  <c r="J18" i="1"/>
  <c r="N18" i="1" l="1"/>
  <c r="P18" i="1"/>
  <c r="R18" i="1" l="1"/>
  <c r="S18" i="1" l="1"/>
  <c r="T18" i="1" l="1"/>
  <c r="N16" i="1" l="1"/>
  <c r="H16" i="1"/>
  <c r="J16" i="1"/>
  <c r="R16" i="1" l="1"/>
  <c r="P16" i="1" l="1"/>
  <c r="S16" i="1" l="1"/>
  <c r="T16" i="1" l="1"/>
  <c r="T12" i="1" l="1"/>
  <c r="S12" i="1"/>
  <c r="R12" i="1"/>
  <c r="H11" i="1" l="1"/>
  <c r="R11" i="1" l="1"/>
  <c r="N11" i="1" l="1"/>
  <c r="P11" i="1" l="1"/>
  <c r="N8" i="1" l="1"/>
  <c r="P8" i="1"/>
  <c r="T8" i="1"/>
  <c r="S8" i="1"/>
  <c r="R8" i="1"/>
  <c r="H8" i="1"/>
  <c r="J8" i="1"/>
  <c r="N7" i="1" l="1"/>
  <c r="T7" i="1"/>
  <c r="S7" i="1"/>
  <c r="R7" i="1"/>
  <c r="P7" i="1"/>
  <c r="H7" i="1"/>
  <c r="J7" i="1"/>
  <c r="N6" i="1" l="1"/>
  <c r="T6" i="1"/>
  <c r="S6" i="1"/>
  <c r="R6" i="1"/>
  <c r="P6" i="1"/>
  <c r="H6" i="1"/>
  <c r="J6" i="1"/>
  <c r="P5" i="1" l="1"/>
  <c r="R5" i="1"/>
  <c r="H5" i="1"/>
  <c r="J5" i="1"/>
  <c r="N4" i="1" l="1"/>
  <c r="R4" i="1"/>
  <c r="P4" i="1"/>
  <c r="H4" i="1"/>
  <c r="N3" i="1" l="1"/>
  <c r="R3" i="1"/>
  <c r="P3" i="1"/>
  <c r="G33" i="1"/>
  <c r="I33" i="1" s="1"/>
  <c r="U33" i="1" s="1"/>
  <c r="G32" i="1"/>
  <c r="I32" i="1" s="1"/>
  <c r="Q32" i="1" s="1"/>
  <c r="G31" i="1"/>
  <c r="I31" i="1" s="1"/>
  <c r="W31" i="1" s="1"/>
  <c r="G30" i="1"/>
  <c r="I30" i="1" s="1"/>
  <c r="G29" i="1"/>
  <c r="I29" i="1" s="1"/>
  <c r="U29" i="1" s="1"/>
  <c r="G28" i="1"/>
  <c r="I28" i="1" s="1"/>
  <c r="G27" i="1"/>
  <c r="I27" i="1" s="1"/>
  <c r="G26" i="1"/>
  <c r="I26" i="1" s="1"/>
  <c r="G25" i="1"/>
  <c r="I25" i="1" s="1"/>
  <c r="G24" i="1"/>
  <c r="I24" i="1" s="1"/>
  <c r="G23" i="1"/>
  <c r="I23" i="1" s="1"/>
  <c r="G22" i="1"/>
  <c r="I22" i="1" s="1"/>
  <c r="Q22" i="1" s="1"/>
  <c r="G21" i="1"/>
  <c r="I21" i="1" s="1"/>
  <c r="O21" i="1" s="1"/>
  <c r="G20" i="1"/>
  <c r="I20" i="1" s="1"/>
  <c r="V20" i="1" s="1"/>
  <c r="G19" i="1"/>
  <c r="I19" i="1" s="1"/>
  <c r="G18" i="1"/>
  <c r="I18" i="1" s="1"/>
  <c r="V18" i="1" s="1"/>
  <c r="G17" i="1"/>
  <c r="I17" i="1" s="1"/>
  <c r="V17" i="1" s="1"/>
  <c r="G16" i="1"/>
  <c r="I16" i="1" s="1"/>
  <c r="G15" i="1"/>
  <c r="I15" i="1" s="1"/>
  <c r="G14" i="1"/>
  <c r="I14" i="1" s="1"/>
  <c r="U14" i="1" s="1"/>
  <c r="G13" i="1"/>
  <c r="I13" i="1" s="1"/>
  <c r="G12" i="1"/>
  <c r="I12" i="1" s="1"/>
  <c r="O12" i="1" s="1"/>
  <c r="G11" i="1"/>
  <c r="I11" i="1" s="1"/>
  <c r="G10" i="1"/>
  <c r="I10" i="1" s="1"/>
  <c r="G9" i="1"/>
  <c r="I9" i="1" s="1"/>
  <c r="G8" i="1"/>
  <c r="I8" i="1" s="1"/>
  <c r="G7" i="1"/>
  <c r="I7" i="1" s="1"/>
  <c r="G6" i="1"/>
  <c r="I6" i="1" s="1"/>
  <c r="G5" i="1"/>
  <c r="I5" i="1" s="1"/>
  <c r="G4" i="1"/>
  <c r="I4" i="1" s="1"/>
  <c r="H3" i="1"/>
  <c r="J3" i="1"/>
  <c r="G3" i="1" s="1"/>
  <c r="U30" i="1" l="1"/>
  <c r="V30" i="1"/>
  <c r="U19" i="1"/>
  <c r="W19" i="1"/>
  <c r="V19" i="1"/>
  <c r="V33" i="1"/>
  <c r="W33" i="1"/>
  <c r="O32" i="1"/>
  <c r="O23" i="1"/>
  <c r="V23" i="1"/>
  <c r="W23" i="1"/>
  <c r="V21" i="1"/>
  <c r="Q21" i="1"/>
  <c r="U21" i="1"/>
  <c r="I3" i="1"/>
  <c r="Q3" i="1" s="1"/>
  <c r="V13" i="1"/>
  <c r="U13" i="1"/>
  <c r="O13" i="1"/>
  <c r="Q13" i="1"/>
  <c r="W13" i="1"/>
  <c r="V4" i="1"/>
  <c r="U4" i="1"/>
  <c r="U26" i="1"/>
  <c r="Q26" i="1"/>
  <c r="W26" i="1"/>
  <c r="O26" i="1"/>
  <c r="V26" i="1"/>
  <c r="V27" i="1"/>
  <c r="W27" i="1"/>
  <c r="O27" i="1"/>
  <c r="U27" i="1"/>
  <c r="Q27" i="1"/>
  <c r="V24" i="1"/>
  <c r="W24" i="1"/>
  <c r="U24" i="1"/>
  <c r="Q24" i="1"/>
  <c r="O24" i="1"/>
  <c r="U25" i="1"/>
  <c r="Q25" i="1"/>
  <c r="W25" i="1"/>
  <c r="V25" i="1"/>
  <c r="O25" i="1"/>
  <c r="O15" i="1"/>
  <c r="U15" i="1"/>
  <c r="V15" i="1"/>
  <c r="Q15" i="1"/>
  <c r="W15" i="1"/>
  <c r="V10" i="1"/>
  <c r="W10" i="1"/>
  <c r="U10" i="1"/>
  <c r="O10" i="1"/>
  <c r="Q10" i="1"/>
  <c r="Q31" i="1"/>
  <c r="Q14" i="1"/>
  <c r="V14" i="1"/>
  <c r="U31" i="1"/>
  <c r="O29" i="1"/>
  <c r="W21" i="1"/>
  <c r="O30" i="1"/>
  <c r="O31" i="1"/>
  <c r="W14" i="1"/>
  <c r="Q29" i="1"/>
  <c r="U22" i="1"/>
  <c r="V22" i="1"/>
  <c r="V29" i="1"/>
  <c r="V32" i="1"/>
  <c r="O19" i="1"/>
  <c r="O33" i="1"/>
  <c r="V31" i="1"/>
  <c r="U32" i="1"/>
  <c r="Q17" i="1"/>
  <c r="W22" i="1"/>
  <c r="W29" i="1"/>
  <c r="W32" i="1"/>
  <c r="W30" i="1"/>
  <c r="O14" i="1"/>
  <c r="Q19" i="1"/>
  <c r="Q23" i="1"/>
  <c r="Q30" i="1"/>
  <c r="Q33" i="1"/>
  <c r="O22" i="1"/>
  <c r="U23" i="1"/>
  <c r="W28" i="1"/>
  <c r="O28" i="1"/>
  <c r="U28" i="1"/>
  <c r="V28" i="1"/>
  <c r="Q28" i="1"/>
  <c r="U17" i="1"/>
  <c r="W17" i="1"/>
  <c r="O17" i="1"/>
  <c r="Q20" i="1"/>
  <c r="U20" i="1"/>
  <c r="O20" i="1"/>
  <c r="O18" i="1"/>
  <c r="Q18" i="1"/>
  <c r="U18" i="1"/>
  <c r="W18" i="1"/>
  <c r="V16" i="1"/>
  <c r="U16" i="1"/>
  <c r="Q16" i="1"/>
  <c r="O16" i="1"/>
  <c r="W16" i="1"/>
  <c r="Q12" i="1"/>
  <c r="U12" i="1"/>
  <c r="V12" i="1"/>
  <c r="W12" i="1"/>
  <c r="Q11" i="1"/>
  <c r="O11" i="1"/>
  <c r="W11" i="1"/>
  <c r="V11" i="1"/>
  <c r="U11" i="1"/>
  <c r="W9" i="1"/>
  <c r="Q9" i="1"/>
  <c r="O9" i="1"/>
  <c r="V9" i="1"/>
  <c r="U9" i="1"/>
  <c r="O3" i="1"/>
  <c r="V3" i="1"/>
  <c r="U3" i="1"/>
  <c r="W3" i="1"/>
  <c r="V8" i="1"/>
  <c r="Q8" i="1"/>
  <c r="O8" i="1"/>
  <c r="W8" i="1"/>
  <c r="U8" i="1"/>
  <c r="V7" i="1"/>
  <c r="W7" i="1"/>
  <c r="O7" i="1"/>
  <c r="U7" i="1"/>
  <c r="Q7" i="1"/>
  <c r="Q6" i="1"/>
  <c r="V6" i="1"/>
  <c r="W6" i="1"/>
  <c r="O6" i="1"/>
  <c r="U6" i="1"/>
  <c r="V5" i="1"/>
  <c r="W5" i="1"/>
  <c r="Q5" i="1"/>
  <c r="U5" i="1"/>
  <c r="O5" i="1"/>
  <c r="W4" i="1"/>
  <c r="Q4" i="1"/>
  <c r="O4" i="1"/>
  <c r="N34" i="1"/>
  <c r="T34" i="1"/>
  <c r="S34" i="1"/>
  <c r="R34" i="1"/>
  <c r="P34" i="1"/>
  <c r="H34" i="1"/>
  <c r="J34" i="1"/>
  <c r="G34" i="1" s="1"/>
  <c r="I34" i="1" s="1"/>
  <c r="O34" i="1" l="1"/>
  <c r="V34" i="1"/>
  <c r="W34" i="1"/>
  <c r="U34" i="1"/>
  <c r="Q34" i="1"/>
  <c r="T20" i="1" l="1"/>
  <c r="W2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Fidel</author>
  </authors>
  <commentList>
    <comment ref="M10" authorId="0" shapeId="0" xr:uid="{64772E04-0A53-49BA-B36A-FA09478D0739}">
      <text>
        <r>
          <rPr>
            <b/>
            <sz val="9"/>
            <color indexed="81"/>
            <rFont val="Tahoma"/>
            <charset val="1"/>
          </rPr>
          <t>Fidel:</t>
        </r>
        <r>
          <rPr>
            <sz val="9"/>
            <color indexed="81"/>
            <rFont val="Tahoma"/>
            <charset val="1"/>
          </rPr>
          <t xml:space="preserve">
Vmware Acquisition</t>
        </r>
      </text>
    </comment>
  </commentList>
</comments>
</file>

<file path=xl/sharedStrings.xml><?xml version="1.0" encoding="utf-8"?>
<sst xmlns="http://schemas.openxmlformats.org/spreadsheetml/2006/main" count="625" uniqueCount="406">
  <si>
    <t>Name</t>
  </si>
  <si>
    <t>Ticker</t>
  </si>
  <si>
    <t>Price</t>
  </si>
  <si>
    <t>MC</t>
  </si>
  <si>
    <t>Net cash</t>
  </si>
  <si>
    <t>EV</t>
  </si>
  <si>
    <t>S/O</t>
  </si>
  <si>
    <t>Updated</t>
  </si>
  <si>
    <t>Last</t>
  </si>
  <si>
    <t>TTM NI</t>
  </si>
  <si>
    <t>TTM EV/E</t>
  </si>
  <si>
    <t>TTM FCF</t>
  </si>
  <si>
    <t>EV/FCF</t>
  </si>
  <si>
    <t>Founded</t>
  </si>
  <si>
    <t>HQ</t>
  </si>
  <si>
    <t>Main</t>
  </si>
  <si>
    <t>Sector</t>
  </si>
  <si>
    <t>Sub-sector</t>
  </si>
  <si>
    <t>Apple</t>
  </si>
  <si>
    <t>AAPL</t>
  </si>
  <si>
    <t>MSFT</t>
  </si>
  <si>
    <t>Microsoft</t>
  </si>
  <si>
    <t>Nvidia</t>
  </si>
  <si>
    <t>NVDA</t>
  </si>
  <si>
    <t>Alphabet</t>
  </si>
  <si>
    <t>GOOGL</t>
  </si>
  <si>
    <t>Amazon</t>
  </si>
  <si>
    <t>AMZN</t>
  </si>
  <si>
    <t>Meta Platforms</t>
  </si>
  <si>
    <t>META</t>
  </si>
  <si>
    <t>Berskhire Hathaway</t>
  </si>
  <si>
    <t>BRK.B</t>
  </si>
  <si>
    <t>Broadcom</t>
  </si>
  <si>
    <t>AVGO</t>
  </si>
  <si>
    <t>Tesla</t>
  </si>
  <si>
    <t>TSLA</t>
  </si>
  <si>
    <t>TSM</t>
  </si>
  <si>
    <t>Taiwan Semiconductor Manufacturing</t>
  </si>
  <si>
    <t>WMT</t>
  </si>
  <si>
    <t>Walmart</t>
  </si>
  <si>
    <t>LLY</t>
  </si>
  <si>
    <t>JPM</t>
  </si>
  <si>
    <t>V</t>
  </si>
  <si>
    <t>Visa</t>
  </si>
  <si>
    <t>UNH</t>
  </si>
  <si>
    <t>MA</t>
  </si>
  <si>
    <t>Mastercard</t>
  </si>
  <si>
    <t>XOM</t>
  </si>
  <si>
    <t>NFLX</t>
  </si>
  <si>
    <t>Netflix</t>
  </si>
  <si>
    <t>PG</t>
  </si>
  <si>
    <t>Procter &amp; Gamble</t>
  </si>
  <si>
    <t>Unitedhealth</t>
  </si>
  <si>
    <t>Exxon Mobil</t>
  </si>
  <si>
    <t>JPMorgan Chase</t>
  </si>
  <si>
    <t>Lilly(Eli)</t>
  </si>
  <si>
    <t>SHEL</t>
  </si>
  <si>
    <t xml:space="preserve">Shell </t>
  </si>
  <si>
    <t>ORCL</t>
  </si>
  <si>
    <t>Oracle</t>
  </si>
  <si>
    <t>JNJ</t>
  </si>
  <si>
    <t>Johnson &amp; Johnson</t>
  </si>
  <si>
    <t>HD</t>
  </si>
  <si>
    <t>Home Depot</t>
  </si>
  <si>
    <t>SAP</t>
  </si>
  <si>
    <t>SAP SE</t>
  </si>
  <si>
    <t>ABBV</t>
  </si>
  <si>
    <t>Abbvie</t>
  </si>
  <si>
    <t>KO</t>
  </si>
  <si>
    <t>Coca-Cola</t>
  </si>
  <si>
    <t>TMUS</t>
  </si>
  <si>
    <t>T-Mobile US</t>
  </si>
  <si>
    <t>NVO</t>
  </si>
  <si>
    <t>Novo Nordisk</t>
  </si>
  <si>
    <t>BAC</t>
  </si>
  <si>
    <t>Bank Of America</t>
  </si>
  <si>
    <t>TM</t>
  </si>
  <si>
    <t>Toyota Motor</t>
  </si>
  <si>
    <t>BABA</t>
  </si>
  <si>
    <t>Alibaba</t>
  </si>
  <si>
    <t>ASML</t>
  </si>
  <si>
    <t>PM</t>
  </si>
  <si>
    <t>Philip Morris</t>
  </si>
  <si>
    <t>CRM</t>
  </si>
  <si>
    <t>Salesforce</t>
  </si>
  <si>
    <t>CVX</t>
  </si>
  <si>
    <t>Chevron</t>
  </si>
  <si>
    <t>PLTR</t>
  </si>
  <si>
    <t>Palantir Technologies</t>
  </si>
  <si>
    <t>CSCO</t>
  </si>
  <si>
    <t>Cisco Systems</t>
  </si>
  <si>
    <t>MCD</t>
  </si>
  <si>
    <t>McDonald's</t>
  </si>
  <si>
    <t>IBM</t>
  </si>
  <si>
    <t>International Business Machines</t>
  </si>
  <si>
    <t>LIN</t>
  </si>
  <si>
    <t>Linde</t>
  </si>
  <si>
    <t>ABT</t>
  </si>
  <si>
    <t>Abbot Laboratories</t>
  </si>
  <si>
    <t>NVS</t>
  </si>
  <si>
    <t>Novartis</t>
  </si>
  <si>
    <t>WFC</t>
  </si>
  <si>
    <t>Wells Fargo</t>
  </si>
  <si>
    <t>GE</t>
  </si>
  <si>
    <t>GE Aerospace</t>
  </si>
  <si>
    <t>MRK</t>
  </si>
  <si>
    <t>Merck &amp; Co</t>
  </si>
  <si>
    <t>T</t>
  </si>
  <si>
    <t>AT&amp;T</t>
  </si>
  <si>
    <t>ACN</t>
  </si>
  <si>
    <t>Accenture</t>
  </si>
  <si>
    <t>PEP</t>
  </si>
  <si>
    <t>PepsiCo</t>
  </si>
  <si>
    <t>HSBC</t>
  </si>
  <si>
    <t>HSBC Holdings</t>
  </si>
  <si>
    <t>VZ</t>
  </si>
  <si>
    <t>Verizon Communications</t>
  </si>
  <si>
    <t>AXP</t>
  </si>
  <si>
    <t>American Express</t>
  </si>
  <si>
    <t>MS</t>
  </si>
  <si>
    <t>Morgan Stanley</t>
  </si>
  <si>
    <t>HDB</t>
  </si>
  <si>
    <t>HDFC Bank</t>
  </si>
  <si>
    <t>ISRG</t>
  </si>
  <si>
    <t>Intuitive Surgical</t>
  </si>
  <si>
    <t>RTX</t>
  </si>
  <si>
    <t>SATX</t>
  </si>
  <si>
    <t>Satixfy Communications</t>
  </si>
  <si>
    <t>NOW</t>
  </si>
  <si>
    <t>ServiceNow</t>
  </si>
  <si>
    <t>TMO</t>
  </si>
  <si>
    <t>Thermo Fisher Scientific</t>
  </si>
  <si>
    <t>INTU</t>
  </si>
  <si>
    <t>Intuit</t>
  </si>
  <si>
    <t>RY</t>
  </si>
  <si>
    <t>Royal Bank Of Canada</t>
  </si>
  <si>
    <t>PGR</t>
  </si>
  <si>
    <t>Progressive</t>
  </si>
  <si>
    <t>AMGN</t>
  </si>
  <si>
    <t>AMGEN</t>
  </si>
  <si>
    <t>GS</t>
  </si>
  <si>
    <t>Goldman Sachs</t>
  </si>
  <si>
    <t>SONY</t>
  </si>
  <si>
    <t>Sony Group</t>
  </si>
  <si>
    <t>UL</t>
  </si>
  <si>
    <t>Unilever</t>
  </si>
  <si>
    <t>UBER</t>
  </si>
  <si>
    <t>AMD</t>
  </si>
  <si>
    <t>Advanced Micro Devices</t>
  </si>
  <si>
    <t>DIS</t>
  </si>
  <si>
    <t>Walt Disney</t>
  </si>
  <si>
    <t>QCOM</t>
  </si>
  <si>
    <t>Qualcomm</t>
  </si>
  <si>
    <t>Booking Holdings</t>
  </si>
  <si>
    <t>ADBE</t>
  </si>
  <si>
    <t>Adobe</t>
  </si>
  <si>
    <t>MUFG</t>
  </si>
  <si>
    <t>Mitsubishi UFJ Financial Group</t>
  </si>
  <si>
    <t>HMC</t>
  </si>
  <si>
    <t>Honda Motor</t>
  </si>
  <si>
    <t>SPGI</t>
  </si>
  <si>
    <t>S&amp;P Global</t>
  </si>
  <si>
    <t>TJX</t>
  </si>
  <si>
    <t>TJX Companies</t>
  </si>
  <si>
    <t>CAT</t>
  </si>
  <si>
    <t>Caterpillar</t>
  </si>
  <si>
    <t>SCHW</t>
  </si>
  <si>
    <t>Charles Schwab</t>
  </si>
  <si>
    <t>NEE</t>
  </si>
  <si>
    <t>NextEra Energy</t>
  </si>
  <si>
    <t>BSX</t>
  </si>
  <si>
    <t>Boston Scientific</t>
  </si>
  <si>
    <t>TXN</t>
  </si>
  <si>
    <t>Texas Instruments</t>
  </si>
  <si>
    <t>TTE</t>
  </si>
  <si>
    <t>TotalEnergies</t>
  </si>
  <si>
    <t>DHR</t>
  </si>
  <si>
    <t>Danaher</t>
  </si>
  <si>
    <t>UNP</t>
  </si>
  <si>
    <t>Union Pacific</t>
  </si>
  <si>
    <t>SYK</t>
  </si>
  <si>
    <t>Stryker</t>
  </si>
  <si>
    <t>GILD</t>
  </si>
  <si>
    <t>Gilead Sciences</t>
  </si>
  <si>
    <t>BLK</t>
  </si>
  <si>
    <t>Blackrock</t>
  </si>
  <si>
    <t>CMCSA</t>
  </si>
  <si>
    <t>Comcast</t>
  </si>
  <si>
    <t>PDD</t>
  </si>
  <si>
    <t>PDD Holdings</t>
  </si>
  <si>
    <t>HON</t>
  </si>
  <si>
    <t>Honeywell International</t>
  </si>
  <si>
    <t>VRTX</t>
  </si>
  <si>
    <t>Vertex Pharmaceuticals</t>
  </si>
  <si>
    <t>PFE</t>
  </si>
  <si>
    <t>Pfizer</t>
  </si>
  <si>
    <t>DE</t>
  </si>
  <si>
    <t>Deere &amp; Co</t>
  </si>
  <si>
    <t>LOW</t>
  </si>
  <si>
    <t>ADP</t>
  </si>
  <si>
    <t>Automatic Data Processing</t>
  </si>
  <si>
    <t>C</t>
  </si>
  <si>
    <t>Citigroup</t>
  </si>
  <si>
    <t>FI</t>
  </si>
  <si>
    <t>Fiserv</t>
  </si>
  <si>
    <t>AMAT</t>
  </si>
  <si>
    <t>Applied Materials</t>
  </si>
  <si>
    <t>CB</t>
  </si>
  <si>
    <t>BHP</t>
  </si>
  <si>
    <t>BHP Group Limited</t>
  </si>
  <si>
    <t>Consumer Electronics &amp; Software</t>
  </si>
  <si>
    <t>Communication Services</t>
  </si>
  <si>
    <t>Consumer Discretionary</t>
  </si>
  <si>
    <t>Consumer Staples</t>
  </si>
  <si>
    <t>Health Care</t>
  </si>
  <si>
    <t>Financials</t>
  </si>
  <si>
    <t>Energy</t>
  </si>
  <si>
    <t>Industrials</t>
  </si>
  <si>
    <t>Systems Software</t>
  </si>
  <si>
    <t>Semiconductors</t>
  </si>
  <si>
    <t>Semiconductors Equipment</t>
  </si>
  <si>
    <t>Communications Equipment</t>
  </si>
  <si>
    <t>IT Consulting &amp; Other Services</t>
  </si>
  <si>
    <t>Application Software</t>
  </si>
  <si>
    <t>Interactive Media &amp; Services</t>
  </si>
  <si>
    <t>Movies &amp; Entertainment</t>
  </si>
  <si>
    <t>Wireless Telecommunication Services</t>
  </si>
  <si>
    <t>Integrated Telecommunication Services</t>
  </si>
  <si>
    <t>Internet &amp; Direct Marketing Retail</t>
  </si>
  <si>
    <t>Automobile Manufacturers</t>
  </si>
  <si>
    <t>Restaurants</t>
  </si>
  <si>
    <t>Home Improvement Retail</t>
  </si>
  <si>
    <t>Hypermarkets &amp; Super Centers</t>
  </si>
  <si>
    <t>Household Products</t>
  </si>
  <si>
    <t>Soft Drinks</t>
  </si>
  <si>
    <t>Tobacco</t>
  </si>
  <si>
    <t>Pharmaceuticals</t>
  </si>
  <si>
    <t>Managed Health Care</t>
  </si>
  <si>
    <t>Health Care Equipment</t>
  </si>
  <si>
    <t>Multi-Sector Holdings</t>
  </si>
  <si>
    <t>Diversified Banks</t>
  </si>
  <si>
    <t>Data Processing &amp; Outsourced Services</t>
  </si>
  <si>
    <t>Integrated Oil &amp; Gas</t>
  </si>
  <si>
    <t>Aerospace &amp; Defense</t>
  </si>
  <si>
    <t>Industrial Gases</t>
  </si>
  <si>
    <t>Information Technology</t>
  </si>
  <si>
    <t>Semiconductor Equipment</t>
  </si>
  <si>
    <t>Cable &amp; Satellite</t>
  </si>
  <si>
    <t>Uber Technologies</t>
  </si>
  <si>
    <t>Consumer Electronics</t>
  </si>
  <si>
    <t>Trucking</t>
  </si>
  <si>
    <t>Hotels, Resorts &amp; Cruise Lines</t>
  </si>
  <si>
    <t>Apparel Retail</t>
  </si>
  <si>
    <t>Personal Products</t>
  </si>
  <si>
    <t>Life Sciences Tools &amp; Services</t>
  </si>
  <si>
    <t>Biotechnology</t>
  </si>
  <si>
    <t>Consumer Finance</t>
  </si>
  <si>
    <t>Investment Banking &amp; Brokerage</t>
  </si>
  <si>
    <t>Property &amp; Casualty Insurance</t>
  </si>
  <si>
    <t>Chubb</t>
  </si>
  <si>
    <t>Financial Exchanges &amp; Data</t>
  </si>
  <si>
    <t>Asset Management &amp; Custody Banks</t>
  </si>
  <si>
    <t>Construction Machinery &amp; Heavy Trucks</t>
  </si>
  <si>
    <t>Railroads</t>
  </si>
  <si>
    <t>Industrial Conglomerates</t>
  </si>
  <si>
    <t>Agricultural &amp; Farm Machinery</t>
  </si>
  <si>
    <t>Utilities</t>
  </si>
  <si>
    <t>Electric Utilities</t>
  </si>
  <si>
    <t>Materials</t>
  </si>
  <si>
    <t>Diversified Metals &amp; Mining</t>
  </si>
  <si>
    <t>BKNG</t>
  </si>
  <si>
    <t>Q125</t>
  </si>
  <si>
    <t>ROTA</t>
  </si>
  <si>
    <t>Velthoven, Netherlands</t>
  </si>
  <si>
    <t>Growth y/y</t>
  </si>
  <si>
    <t>FQ125</t>
  </si>
  <si>
    <t>Cupertino, California, United States</t>
  </si>
  <si>
    <t>FQ224</t>
  </si>
  <si>
    <t>Redmond, Washington, United States</t>
  </si>
  <si>
    <t>Q424</t>
  </si>
  <si>
    <t>FQ425</t>
  </si>
  <si>
    <t>Santa Clara, California, United States</t>
  </si>
  <si>
    <t>Mount View, California, United States</t>
  </si>
  <si>
    <t>Seattle, Washington, United States</t>
  </si>
  <si>
    <t>Menlo Park, California, United States</t>
  </si>
  <si>
    <t>Austin, Texas, United States</t>
  </si>
  <si>
    <t>Hsinchu, Taiwan</t>
  </si>
  <si>
    <t>Foster City, California, United States</t>
  </si>
  <si>
    <t>Purchase, Harrison, New York, United States</t>
  </si>
  <si>
    <t>Los Gatos, California, United States</t>
  </si>
  <si>
    <t>Minnetonka, Minnesota, United States</t>
  </si>
  <si>
    <t>Atlanta, Georgia, United States</t>
  </si>
  <si>
    <t>Investor Relations</t>
  </si>
  <si>
    <t>https://investor.apple.com/investor-relations/default.aspx</t>
  </si>
  <si>
    <t>https://www.microsoft.com/en-us/investor/default</t>
  </si>
  <si>
    <t>SEC Fillings</t>
  </si>
  <si>
    <t>Models</t>
  </si>
  <si>
    <t>https://investor.nvidia.com/home/default.aspx</t>
  </si>
  <si>
    <t>https://abc.xyz/investor/</t>
  </si>
  <si>
    <t>https://ir.aboutamazon.com/overview/default.aspx</t>
  </si>
  <si>
    <t>https://investor.atmeta.com/home/default.aspx</t>
  </si>
  <si>
    <t>https://www.berkshirehathaway.com/</t>
  </si>
  <si>
    <t>https://investors.broadcom.com/</t>
  </si>
  <si>
    <t>https://ir.tesla.com/#quarterly-disclosure</t>
  </si>
  <si>
    <t>https://investor.tsmc.com/english</t>
  </si>
  <si>
    <t>https://stock.walmart.com/</t>
  </si>
  <si>
    <t>https://investor.lilly.com/</t>
  </si>
  <si>
    <t>https://www.jpmorganchase.com/ir</t>
  </si>
  <si>
    <t>https://investor.visa.com/</t>
  </si>
  <si>
    <t>https://www.unitedhealthgroup.com/investors.html</t>
  </si>
  <si>
    <t>https://investor.mastercard.com/overview/default.aspx</t>
  </si>
  <si>
    <t>https://investor.exxonmobil.com/</t>
  </si>
  <si>
    <t>https://ir.netflix.net/financials/quarterly-earnings/default.aspx</t>
  </si>
  <si>
    <t>https://pginvestor.com/</t>
  </si>
  <si>
    <t>https://www.shell.com/investors.html</t>
  </si>
  <si>
    <t>https://investor.oracle.com/home/default.aspx</t>
  </si>
  <si>
    <t>https://www.investor.jnj.com/overview/default.aspx</t>
  </si>
  <si>
    <t>https://ir.homedepot.com/</t>
  </si>
  <si>
    <t>https://www.sap.com/investors/en.html</t>
  </si>
  <si>
    <t>https://investors.abbvie.com/</t>
  </si>
  <si>
    <t>https://investors.coca-colacompany.com/</t>
  </si>
  <si>
    <t>https://investor.t-mobile.com/overview/default.aspx</t>
  </si>
  <si>
    <t>https://www.novonordisk.com/investors.html</t>
  </si>
  <si>
    <t>https://investor.bankofamerica.com/</t>
  </si>
  <si>
    <t>https://global.toyota/en/ir/</t>
  </si>
  <si>
    <t>https://www.alibabagroup.com/en-US/investor-relations</t>
  </si>
  <si>
    <t>https://www.asml.com/en/investors</t>
  </si>
  <si>
    <t>https://www.pmi.com/investor-relations/overview</t>
  </si>
  <si>
    <t>https://investor.salesforce.com/overview/default.aspx</t>
  </si>
  <si>
    <t>https://www.chevron.com/investors</t>
  </si>
  <si>
    <t>https://investors.palantir.com/</t>
  </si>
  <si>
    <t>https://investor.cisco.com/home/default.aspx</t>
  </si>
  <si>
    <t>https://corporate.mcdonalds.com/corpmcd/investors.html</t>
  </si>
  <si>
    <t>https://www.ibm.com/investor</t>
  </si>
  <si>
    <t>https://www.linde.com/investors</t>
  </si>
  <si>
    <t>https://www.abbott.com/investors.html</t>
  </si>
  <si>
    <t>https://www.novartis.com/investors</t>
  </si>
  <si>
    <t>https://www.wellsfargo.com/about/investor-relations/</t>
  </si>
  <si>
    <t>https://www.geaerospace.com/investor-relations</t>
  </si>
  <si>
    <t>https://www.merck.com/investor-relations/</t>
  </si>
  <si>
    <t>https://investors.att.com/</t>
  </si>
  <si>
    <t>https://investor.accenture.com/</t>
  </si>
  <si>
    <t>https://www.pepsico.com/investors/investor-relations</t>
  </si>
  <si>
    <t>https://www.hsbc.com/investors</t>
  </si>
  <si>
    <t>https://www.verizon.com/about/investors</t>
  </si>
  <si>
    <t>https://ir.americanexpress.com/investor-relations/default.aspx</t>
  </si>
  <si>
    <t>https://www.morganstanley.com/about-us-ir</t>
  </si>
  <si>
    <t>https://www.hdfcbank.com/personal/about-us/investor-relations</t>
  </si>
  <si>
    <t>https://isrg.intuitive.com/</t>
  </si>
  <si>
    <t>https://investors.rtx.com/</t>
  </si>
  <si>
    <t>https://ir.satixfy.com/overview/default.aspx</t>
  </si>
  <si>
    <t>https://www.servicenow.com/company/investor-relations.html</t>
  </si>
  <si>
    <t>https://ir.thermofisher.com/investors/overview/default.aspx</t>
  </si>
  <si>
    <t>https://investors.intuit.com/</t>
  </si>
  <si>
    <t>https://www.rbc.com/investor-relations/</t>
  </si>
  <si>
    <t>https://investors.progressive.com/home/default.aspx</t>
  </si>
  <si>
    <t>https://investors.amgen.com/</t>
  </si>
  <si>
    <t>https://www.goldmansachs.com/investor-relations</t>
  </si>
  <si>
    <t>https://www.sony.com/en/SonyInfo/IR/</t>
  </si>
  <si>
    <t>https://www.unilever.com/investors/</t>
  </si>
  <si>
    <t>https://investor.uber.com/home/default.aspx</t>
  </si>
  <si>
    <t>https://ir.amd.com/</t>
  </si>
  <si>
    <t>https://thewaltdisneycompany.com/investor-relations/</t>
  </si>
  <si>
    <t>https://investor.qualcomm.com/overview/default.aspx</t>
  </si>
  <si>
    <t>https://ir.bookingholdings.com/overview/default.aspx</t>
  </si>
  <si>
    <t>https://www.adobe.com/investor-relations.html</t>
  </si>
  <si>
    <t>https://www.mufg.jp/english/ir/index.html</t>
  </si>
  <si>
    <t>https://global.honda/en/investors/</t>
  </si>
  <si>
    <t>https://investor.spglobal.com/investor-relations-overview/default.aspx</t>
  </si>
  <si>
    <t>https://investor.tjx.com/</t>
  </si>
  <si>
    <t>https://investors.caterpillar.com/overview/default.aspx</t>
  </si>
  <si>
    <t>https://www.aboutschwab.com/investor-relations</t>
  </si>
  <si>
    <t>https://www.investor.nexteraenergy.com/</t>
  </si>
  <si>
    <t>https://investors.bostonscientific.com/</t>
  </si>
  <si>
    <t>https://investor.ti.com/</t>
  </si>
  <si>
    <t>https://totalenergies.com/investors</t>
  </si>
  <si>
    <t>https://investors.danaher.com/</t>
  </si>
  <si>
    <t>https://investor.unionpacific.com/</t>
  </si>
  <si>
    <t>https://investors.stryker.com/home/default.aspx</t>
  </si>
  <si>
    <t>https://investors.gilead.com/overview/default.aspx</t>
  </si>
  <si>
    <t>https://ir.blackrock.com/home/default.aspx</t>
  </si>
  <si>
    <t>https://www.cmcsa.com/</t>
  </si>
  <si>
    <t>https://investor.pddholdings.com/</t>
  </si>
  <si>
    <t>https://investor.honeywell.com/</t>
  </si>
  <si>
    <t>https://investors.vrtx.com/</t>
  </si>
  <si>
    <t>https://investors.pfizer.com/Investors/Overview/default.aspx</t>
  </si>
  <si>
    <t>https://investor.deere.com/home/default.aspx</t>
  </si>
  <si>
    <t>Lowe's</t>
  </si>
  <si>
    <t>https://corporate.lowes.com/investors</t>
  </si>
  <si>
    <t>https://investors.adp.com/overview/default.aspx</t>
  </si>
  <si>
    <t>https://www.citigroup.com/global/investors</t>
  </si>
  <si>
    <t>https://investors.fiserv.com/</t>
  </si>
  <si>
    <t>https://ir.appliedmaterials.com/</t>
  </si>
  <si>
    <t>https://investors.chubb.com/home/default.aspx</t>
  </si>
  <si>
    <t>https://www.bhp.com/investors</t>
  </si>
  <si>
    <t>X</t>
  </si>
  <si>
    <t>San Jose, California, United States</t>
  </si>
  <si>
    <t>New York City, New York, United States</t>
  </si>
  <si>
    <t>Bentonville, Arkansas, United States</t>
  </si>
  <si>
    <t>Cincinnati, Ohio, United States</t>
  </si>
  <si>
    <t>Sectors models</t>
  </si>
  <si>
    <t>Learning</t>
  </si>
  <si>
    <t>Payment processing</t>
  </si>
  <si>
    <t>Bedrijfs Economie</t>
  </si>
  <si>
    <t>Investing</t>
  </si>
  <si>
    <t>FQ325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</si>
</sst>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m/yy;@"/>
    <numFmt numFmtId="165" formatCode="0\x"/>
    <numFmt numFmtId="166" formatCode="[$-413]d/mmm;@"/>
  </numFmts>
  <fonts count="6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2" fillId="0" borderId="0" xfId="1"/>
    <xf numFmtId="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1" applyAlignment="1">
      <alignment horizontal="left"/>
    </xf>
    <xf numFmtId="0" fontId="2" fillId="0" borderId="0" xfId="1" applyFill="1"/>
    <xf numFmtId="0" fontId="2" fillId="0" borderId="0" xfId="1" applyAlignment="1">
      <alignment horizontal="center"/>
    </xf>
    <xf numFmtId="166" fontId="3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Hardware\Tech\AAPL.xlsx" TargetMode="External"/><Relationship Id="rId1" Type="http://schemas.openxmlformats.org/officeDocument/2006/relationships/externalLinkPath" Target="/Users/denni/Desktop/CompanyResearchModels/Hardware/Tech/AAP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Software\Internet\MSFT.xlsx" TargetMode="External"/><Relationship Id="rId1" Type="http://schemas.openxmlformats.org/officeDocument/2006/relationships/externalLinkPath" Target="/Users/denni/Desktop/CompanyResearchModels/Software/Internet/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Hardware\Semiconductors\NVDA.xlsx" TargetMode="External"/><Relationship Id="rId1" Type="http://schemas.openxmlformats.org/officeDocument/2006/relationships/externalLinkPath" Target="/Users/denni/Desktop/CompanyResearchModels/Hardware/Semiconductors/NVDA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Software\Internet\GOOG.xlsx" TargetMode="External"/><Relationship Id="rId1" Type="http://schemas.openxmlformats.org/officeDocument/2006/relationships/externalLinkPath" Target="/Users/denni/Desktop/CompanyResearchModels/Software/Internet/GOOG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Software\Internet\AMZN.xlsx" TargetMode="External"/><Relationship Id="rId1" Type="http://schemas.openxmlformats.org/officeDocument/2006/relationships/externalLinkPath" Target="/Users/denni/Desktop/CompanyResearchModels/Software/Internet/AMZ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Software\Internet\META.xlsx" TargetMode="External"/><Relationship Id="rId1" Type="http://schemas.openxmlformats.org/officeDocument/2006/relationships/externalLinkPath" Target="/Users/denni/Desktop/CompanyResearchModels/Software/Internet/META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Hardware\Semiconductors\AVGO.xlsx" TargetMode="External"/><Relationship Id="rId1" Type="http://schemas.openxmlformats.org/officeDocument/2006/relationships/externalLinkPath" Target="/Users/denni/Desktop/CompanyResearchModels/Hardware/Semiconductors/AVGO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TSLA.xlsx" TargetMode="External"/><Relationship Id="rId1" Type="http://schemas.openxmlformats.org/officeDocument/2006/relationships/externalLinkPath" Target="/Users/denni/Desktop/CompanyResearchModels/TSL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Hardware\Semiconductors\TSM.xlsx" TargetMode="External"/><Relationship Id="rId1" Type="http://schemas.openxmlformats.org/officeDocument/2006/relationships/externalLinkPath" Target="/Users/denni/Desktop/CompanyResearchModels/Hardware/Semiconductors/TS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Retail\Grocery\WMT.xlsx" TargetMode="External"/><Relationship Id="rId1" Type="http://schemas.openxmlformats.org/officeDocument/2006/relationships/externalLinkPath" Target="/Users/denni/Desktop/CompanyResearchModels/Retail/Grocery/WMT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Software\Fintech\V.xlsx" TargetMode="External"/><Relationship Id="rId1" Type="http://schemas.openxmlformats.org/officeDocument/2006/relationships/externalLinkPath" Target="/Users/denni/Desktop/CompanyResearchModels/Software/Fintech/V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UNH.xlsx" TargetMode="External"/><Relationship Id="rId1" Type="http://schemas.openxmlformats.org/officeDocument/2006/relationships/externalLinkPath" Target="/Users/denni/Desktop/CompanyResearchModels/UNH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Software\Fintech\MA.xlsx" TargetMode="External"/><Relationship Id="rId1" Type="http://schemas.openxmlformats.org/officeDocument/2006/relationships/externalLinkPath" Target="/Users/denni/Desktop/CompanyResearchModels/Software/Fintech/MA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Software\Internet\NFLX.xlsx" TargetMode="External"/><Relationship Id="rId1" Type="http://schemas.openxmlformats.org/officeDocument/2006/relationships/externalLinkPath" Target="/Users/denni/Desktop/CompanyResearchModels/Software/Internet/NFLX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PG.xlsx" TargetMode="External"/><Relationship Id="rId1" Type="http://schemas.openxmlformats.org/officeDocument/2006/relationships/externalLinkPath" Target="/Users/denni/Desktop/CompanyResearchModels/PG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KO.xlsx" TargetMode="External"/><Relationship Id="rId1" Type="http://schemas.openxmlformats.org/officeDocument/2006/relationships/externalLinkPath" Target="/Users/denni/Desktop/CompanyResearchModels/KO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Hardware\Semiconductors\ASML.xlsx" TargetMode="External"/><Relationship Id="rId1" Type="http://schemas.openxmlformats.org/officeDocument/2006/relationships/externalLinkPath" Target="/Users/denni/Desktop/CompanyResearchModels/Hardware/Semiconductors/ASML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Software\Fintech\AXP.xlsx" TargetMode="External"/><Relationship Id="rId1" Type="http://schemas.openxmlformats.org/officeDocument/2006/relationships/externalLinkPath" Target="/Users/denni/Desktop/CompanyResearchModels/Software/Fintech/AXP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Information%20Technology\AMAT.xlsx" TargetMode="External"/><Relationship Id="rId1" Type="http://schemas.openxmlformats.org/officeDocument/2006/relationships/externalLinkPath" Target="Information%20Technology/AMAT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ORCL.xlsx" TargetMode="External"/><Relationship Id="rId1" Type="http://schemas.openxmlformats.org/officeDocument/2006/relationships/externalLinkPath" Target="/Users/denni/Desktop/CompanyResearchModels/ORC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I4">
            <v>15150.865</v>
          </cell>
        </row>
        <row r="6">
          <cell r="I6">
            <v>141368</v>
          </cell>
        </row>
        <row r="7">
          <cell r="I7">
            <v>96799</v>
          </cell>
        </row>
      </sheetData>
      <sheetData sheetId="1">
        <row r="44">
          <cell r="L44">
            <v>23636</v>
          </cell>
          <cell r="M44">
            <v>21448</v>
          </cell>
          <cell r="N44">
            <v>14736</v>
          </cell>
          <cell r="O44">
            <v>36330</v>
          </cell>
          <cell r="AB44">
            <v>93736</v>
          </cell>
        </row>
        <row r="106">
          <cell r="L106">
            <v>20694</v>
          </cell>
          <cell r="M106">
            <v>26707</v>
          </cell>
          <cell r="N106">
            <v>23903</v>
          </cell>
          <cell r="O106">
            <v>26995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K5">
            <v>87136</v>
          </cell>
        </row>
        <row r="6">
          <cell r="K6">
            <v>44970</v>
          </cell>
        </row>
      </sheetData>
      <sheetData sheetId="1">
        <row r="27">
          <cell r="M27">
            <v>21939</v>
          </cell>
          <cell r="N27">
            <v>22036</v>
          </cell>
          <cell r="O27">
            <v>24667</v>
          </cell>
          <cell r="P27">
            <v>24108</v>
          </cell>
          <cell r="AD27">
            <v>88136</v>
          </cell>
        </row>
        <row r="103">
          <cell r="M103">
            <v>20965</v>
          </cell>
          <cell r="N103">
            <v>23322</v>
          </cell>
          <cell r="O103">
            <v>19257</v>
          </cell>
          <cell r="P103">
            <v>6487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24400</v>
          </cell>
        </row>
        <row r="6">
          <cell r="L6">
            <v>43210</v>
          </cell>
        </row>
        <row r="7">
          <cell r="L7">
            <v>8463</v>
          </cell>
        </row>
      </sheetData>
      <sheetData sheetId="1">
        <row r="19">
          <cell r="N19">
            <v>14806</v>
          </cell>
          <cell r="O19">
            <v>16410</v>
          </cell>
          <cell r="P19">
            <v>19273</v>
          </cell>
          <cell r="Q19">
            <v>21357</v>
          </cell>
          <cell r="AG19">
            <v>71846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dvertising"/>
      <sheetName val="Graphs"/>
    </sheetNames>
    <sheetDataSet>
      <sheetData sheetId="0">
        <row r="5">
          <cell r="L5">
            <v>12348</v>
          </cell>
        </row>
        <row r="7">
          <cell r="L7">
            <v>133639</v>
          </cell>
        </row>
        <row r="8">
          <cell r="L8">
            <v>10883</v>
          </cell>
        </row>
      </sheetData>
      <sheetData sheetId="1">
        <row r="27">
          <cell r="O27">
            <v>23662</v>
          </cell>
          <cell r="P27">
            <v>23619</v>
          </cell>
          <cell r="Q27">
            <v>26301</v>
          </cell>
          <cell r="R27">
            <v>26536</v>
          </cell>
          <cell r="AI27">
            <v>100118</v>
          </cell>
          <cell r="AJ27">
            <v>98017.385599999994</v>
          </cell>
          <cell r="AK27">
            <v>107022.09408271998</v>
          </cell>
        </row>
        <row r="121">
          <cell r="O121">
            <v>16836</v>
          </cell>
          <cell r="P121">
            <v>13454</v>
          </cell>
          <cell r="Q121">
            <v>17637</v>
          </cell>
          <cell r="R121">
            <v>24837</v>
          </cell>
        </row>
      </sheetData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</v>
          </cell>
        </row>
        <row r="4">
          <cell r="L4">
            <v>10771</v>
          </cell>
        </row>
        <row r="6">
          <cell r="L6">
            <v>101202</v>
          </cell>
        </row>
        <row r="7">
          <cell r="L7">
            <v>52623</v>
          </cell>
        </row>
      </sheetData>
      <sheetData sheetId="1">
        <row r="18">
          <cell r="N18">
            <v>13420</v>
          </cell>
          <cell r="O18">
            <v>13593</v>
          </cell>
          <cell r="P18">
            <v>15620</v>
          </cell>
          <cell r="Q18">
            <v>19732</v>
          </cell>
          <cell r="AI18">
            <v>62365</v>
          </cell>
          <cell r="AJ18">
            <v>65145.023999999998</v>
          </cell>
          <cell r="AK18">
            <v>78645.63543999994</v>
          </cell>
        </row>
        <row r="71">
          <cell r="N71">
            <v>4064</v>
          </cell>
          <cell r="O71">
            <v>7661</v>
          </cell>
          <cell r="P71">
            <v>3351</v>
          </cell>
          <cell r="Q71">
            <v>17802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M4">
            <v>504.73</v>
          </cell>
        </row>
        <row r="5">
          <cell r="M5">
            <v>2614</v>
          </cell>
        </row>
        <row r="7">
          <cell r="M7">
            <v>77815</v>
          </cell>
        </row>
        <row r="8">
          <cell r="M8">
            <v>28826</v>
          </cell>
        </row>
      </sheetData>
      <sheetData sheetId="1">
        <row r="27">
          <cell r="R27">
            <v>12369</v>
          </cell>
          <cell r="S27">
            <v>13465</v>
          </cell>
          <cell r="T27">
            <v>15688</v>
          </cell>
          <cell r="U27">
            <v>19354.400000000001</v>
          </cell>
          <cell r="AM27">
            <v>62360</v>
          </cell>
          <cell r="AN27">
            <v>61837.52</v>
          </cell>
          <cell r="AO27">
            <v>68557.542080000014</v>
          </cell>
        </row>
        <row r="99">
          <cell r="R99">
            <v>12846</v>
          </cell>
          <cell r="S99">
            <v>11197</v>
          </cell>
          <cell r="T99">
            <v>16466</v>
          </cell>
          <cell r="U99">
            <v>13563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Mware"/>
    </sheetNames>
    <sheetDataSet>
      <sheetData sheetId="0">
        <row r="4">
          <cell r="L4">
            <v>4701.9487170000002</v>
          </cell>
        </row>
        <row r="6">
          <cell r="L6">
            <v>9307</v>
          </cell>
        </row>
        <row r="7">
          <cell r="L7">
            <v>66579</v>
          </cell>
        </row>
      </sheetData>
      <sheetData sheetId="1">
        <row r="15">
          <cell r="P15">
            <v>3153</v>
          </cell>
          <cell r="Q15">
            <v>1184</v>
          </cell>
          <cell r="R15">
            <v>3701</v>
          </cell>
          <cell r="S15">
            <v>6083</v>
          </cell>
          <cell r="AH15">
            <v>10539</v>
          </cell>
        </row>
        <row r="74">
          <cell r="P74">
            <v>4448</v>
          </cell>
          <cell r="Q74">
            <v>4791</v>
          </cell>
          <cell r="R74">
            <v>5472</v>
          </cell>
          <cell r="S74">
            <v>6013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7">
          <cell r="K7">
            <v>37639</v>
          </cell>
        </row>
        <row r="8">
          <cell r="K8">
            <v>8213</v>
          </cell>
        </row>
      </sheetData>
      <sheetData sheetId="1">
        <row r="26">
          <cell r="J26">
            <v>1036</v>
          </cell>
          <cell r="K26">
            <v>2092</v>
          </cell>
          <cell r="L26">
            <v>2508</v>
          </cell>
          <cell r="M26">
            <v>1506</v>
          </cell>
          <cell r="Y26">
            <v>7142</v>
          </cell>
        </row>
        <row r="97">
          <cell r="J97">
            <v>-2531</v>
          </cell>
          <cell r="K97">
            <v>1342</v>
          </cell>
          <cell r="L97">
            <v>2742</v>
          </cell>
          <cell r="M97">
            <v>2031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echnologie"/>
      <sheetName val="Geography"/>
    </sheetNames>
    <sheetDataSet>
      <sheetData sheetId="0">
        <row r="5">
          <cell r="L5">
            <v>5185.8</v>
          </cell>
        </row>
        <row r="7">
          <cell r="L7">
            <v>86248</v>
          </cell>
        </row>
        <row r="8">
          <cell r="L8">
            <v>30418</v>
          </cell>
        </row>
      </sheetData>
      <sheetData sheetId="1">
        <row r="20">
          <cell r="T20">
            <v>7652</v>
          </cell>
          <cell r="U20">
            <v>9936</v>
          </cell>
          <cell r="V20">
            <v>11410.74</v>
          </cell>
          <cell r="W20">
            <v>10921.109999999999</v>
          </cell>
          <cell r="AL20">
            <v>36140.74</v>
          </cell>
          <cell r="AM20">
            <v>42438.739199999996</v>
          </cell>
          <cell r="AN20">
            <v>49664.368188119966</v>
          </cell>
        </row>
        <row r="79">
          <cell r="T79">
            <v>5032</v>
          </cell>
          <cell r="U79">
            <v>5392</v>
          </cell>
          <cell r="V79">
            <v>6938</v>
          </cell>
          <cell r="W79">
            <v>8969</v>
          </cell>
        </row>
      </sheetData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8016.8494440000004</v>
          </cell>
        </row>
        <row r="6">
          <cell r="L6">
            <v>9037</v>
          </cell>
        </row>
        <row r="7">
          <cell r="L7">
            <v>39067</v>
          </cell>
        </row>
      </sheetData>
      <sheetData sheetId="1">
        <row r="24">
          <cell r="J24">
            <v>4513</v>
          </cell>
          <cell r="K24">
            <v>5873</v>
          </cell>
          <cell r="L24">
            <v>4846</v>
          </cell>
          <cell r="M24">
            <v>5719</v>
          </cell>
          <cell r="AB24">
            <v>20951</v>
          </cell>
          <cell r="AC24">
            <v>19484.094180000004</v>
          </cell>
          <cell r="AD24">
            <v>20935.998507759006</v>
          </cell>
        </row>
        <row r="88">
          <cell r="J88">
            <v>-355</v>
          </cell>
          <cell r="K88">
            <v>6497</v>
          </cell>
          <cell r="L88">
            <v>438</v>
          </cell>
          <cell r="M88">
            <v>6512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1732.602987</v>
          </cell>
        </row>
        <row r="6">
          <cell r="L6">
            <v>19203</v>
          </cell>
        </row>
        <row r="7">
          <cell r="L7">
            <v>20609</v>
          </cell>
        </row>
      </sheetData>
      <sheetData sheetId="1">
        <row r="46">
          <cell r="L46">
            <v>4967</v>
          </cell>
          <cell r="M46">
            <v>5149</v>
          </cell>
          <cell r="N46">
            <v>5602</v>
          </cell>
          <cell r="O46">
            <v>5627</v>
          </cell>
          <cell r="X46">
            <v>21239</v>
          </cell>
          <cell r="Y46">
            <v>21980.030719999999</v>
          </cell>
          <cell r="Z46">
            <v>23839.646246400007</v>
          </cell>
        </row>
        <row r="110">
          <cell r="L110">
            <v>4257</v>
          </cell>
          <cell r="M110">
            <v>4734</v>
          </cell>
          <cell r="N110">
            <v>6355</v>
          </cell>
          <cell r="O110">
            <v>5051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918</v>
          </cell>
        </row>
        <row r="6">
          <cell r="L6">
            <v>86154</v>
          </cell>
        </row>
        <row r="7">
          <cell r="L7">
            <v>81271</v>
          </cell>
        </row>
      </sheetData>
      <sheetData sheetId="1">
        <row r="16">
          <cell r="O16">
            <v>6666</v>
          </cell>
          <cell r="P16">
            <v>7319</v>
          </cell>
          <cell r="Q16">
            <v>6804</v>
          </cell>
          <cell r="R16">
            <v>7550</v>
          </cell>
          <cell r="AG16">
            <v>27651</v>
          </cell>
        </row>
        <row r="66">
          <cell r="O66">
            <v>5893</v>
          </cell>
          <cell r="P66">
            <v>12954</v>
          </cell>
          <cell r="Q66">
            <v>1457</v>
          </cell>
          <cell r="R66">
            <v>4558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911.70850599999994</v>
          </cell>
        </row>
        <row r="6">
          <cell r="L6">
            <v>8772</v>
          </cell>
        </row>
        <row r="7">
          <cell r="L7">
            <v>18226</v>
          </cell>
        </row>
      </sheetData>
      <sheetData sheetId="1">
        <row r="27">
          <cell r="G27">
            <v>3249</v>
          </cell>
          <cell r="H27">
            <v>3525</v>
          </cell>
          <cell r="I27">
            <v>3643</v>
          </cell>
          <cell r="J27">
            <v>3706</v>
          </cell>
          <cell r="U27">
            <v>14123</v>
          </cell>
          <cell r="V27">
            <v>14778.045896</v>
          </cell>
          <cell r="W27">
            <v>16146.540728144002</v>
          </cell>
        </row>
        <row r="40">
          <cell r="G40">
            <v>1515</v>
          </cell>
          <cell r="H40">
            <v>3023</v>
          </cell>
          <cell r="I40">
            <v>5029</v>
          </cell>
          <cell r="J40">
            <v>4739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eographic"/>
      <sheetName val="TV"/>
      <sheetName val="Film"/>
    </sheetNames>
    <sheetDataSet>
      <sheetData sheetId="0">
        <row r="9">
          <cell r="M9">
            <v>437.786</v>
          </cell>
        </row>
        <row r="11">
          <cell r="M11">
            <v>9583.7389999999996</v>
          </cell>
        </row>
        <row r="12">
          <cell r="M12">
            <v>15582.804</v>
          </cell>
        </row>
      </sheetData>
      <sheetData sheetId="1">
        <row r="27">
          <cell r="Q27">
            <v>2147.3059999999996</v>
          </cell>
          <cell r="R27">
            <v>2406.8949999999991</v>
          </cell>
          <cell r="S27">
            <v>1847</v>
          </cell>
          <cell r="T27">
            <v>2890.3509999999997</v>
          </cell>
          <cell r="AK27">
            <v>9257.8098400000017</v>
          </cell>
          <cell r="AL27">
            <v>9855.8056324999998</v>
          </cell>
          <cell r="AM27">
            <v>11463.501067633753</v>
          </cell>
        </row>
        <row r="88">
          <cell r="Q88">
            <v>1212.5600000000002</v>
          </cell>
          <cell r="R88">
            <v>2194.2379999999998</v>
          </cell>
          <cell r="S88">
            <v>1378.2200000000003</v>
          </cell>
          <cell r="T88">
            <v>2660.922</v>
          </cell>
        </row>
      </sheetData>
      <sheetData sheetId="2"/>
      <sheetData sheetId="3"/>
      <sheetData sheetId="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2344.8518140000001</v>
          </cell>
        </row>
        <row r="6">
          <cell r="L6">
            <v>10230</v>
          </cell>
        </row>
        <row r="7">
          <cell r="L7">
            <v>34687</v>
          </cell>
        </row>
      </sheetData>
      <sheetData sheetId="1">
        <row r="23">
          <cell r="L23">
            <v>3519</v>
          </cell>
          <cell r="M23">
            <v>3048</v>
          </cell>
          <cell r="N23">
            <v>4542</v>
          </cell>
          <cell r="O23">
            <v>4433</v>
          </cell>
          <cell r="AC23">
            <v>15647</v>
          </cell>
          <cell r="AD23">
            <v>15776.048000000001</v>
          </cell>
          <cell r="AE23">
            <v>16619.142832000001</v>
          </cell>
        </row>
        <row r="82">
          <cell r="L82">
            <v>3291</v>
          </cell>
          <cell r="M82">
            <v>4971</v>
          </cell>
          <cell r="N82">
            <v>3354</v>
          </cell>
          <cell r="O82">
            <v>3902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4301.000395</v>
          </cell>
        </row>
        <row r="6">
          <cell r="L6">
            <v>32658</v>
          </cell>
        </row>
        <row r="7">
          <cell r="L7">
            <v>44522</v>
          </cell>
        </row>
      </sheetData>
      <sheetData sheetId="1">
        <row r="12">
          <cell r="N12">
            <v>2891</v>
          </cell>
          <cell r="O12">
            <v>3232</v>
          </cell>
          <cell r="P12">
            <v>2862</v>
          </cell>
          <cell r="Q12">
            <v>2065</v>
          </cell>
          <cell r="AC12">
            <v>11050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eography"/>
      <sheetName val="Rayleigh criterion"/>
    </sheetNames>
    <sheetDataSet>
      <sheetData sheetId="0">
        <row r="3">
          <cell r="L3">
            <v>392.5</v>
          </cell>
        </row>
        <row r="5">
          <cell r="L5">
            <v>9103.6</v>
          </cell>
        </row>
        <row r="6">
          <cell r="L6">
            <v>3681</v>
          </cell>
        </row>
      </sheetData>
      <sheetData sheetId="1">
        <row r="56">
          <cell r="T56">
            <v>1531.0999999999995</v>
          </cell>
          <cell r="U56">
            <v>1999.1999999999996</v>
          </cell>
          <cell r="V56">
            <v>2637.8999999999996</v>
          </cell>
          <cell r="W56">
            <v>2321.9999999999995</v>
          </cell>
          <cell r="AM56">
            <v>8468.9016000000011</v>
          </cell>
          <cell r="AN56">
            <v>9858.582315200003</v>
          </cell>
          <cell r="AO56">
            <v>11421.711756726403</v>
          </cell>
        </row>
        <row r="129">
          <cell r="T129">
            <v>392.4000000000002</v>
          </cell>
          <cell r="U129">
            <v>535.00000000000057</v>
          </cell>
          <cell r="V129">
            <v>8840.7999999999993</v>
          </cell>
          <cell r="W129">
            <v>-473.60000000000036</v>
          </cell>
        </row>
      </sheetData>
      <sheetData sheetId="2" refreshError="1"/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700.58887000000004</v>
          </cell>
        </row>
        <row r="6">
          <cell r="L6">
            <v>51089</v>
          </cell>
        </row>
        <row r="7">
          <cell r="L7">
            <v>52795</v>
          </cell>
        </row>
      </sheetData>
      <sheetData sheetId="1">
        <row r="19">
          <cell r="S19">
            <v>10129</v>
          </cell>
        </row>
        <row r="28">
          <cell r="H28">
            <v>3015</v>
          </cell>
          <cell r="I28">
            <v>2507</v>
          </cell>
          <cell r="J28">
            <v>2170</v>
          </cell>
          <cell r="K28">
            <v>2584</v>
          </cell>
          <cell r="W28">
            <v>10129</v>
          </cell>
          <cell r="X28">
            <v>11343.136000000004</v>
          </cell>
          <cell r="Y28">
            <v>12667.979840000004</v>
          </cell>
        </row>
        <row r="85">
          <cell r="H85">
            <v>9123</v>
          </cell>
          <cell r="I85">
            <v>6856</v>
          </cell>
          <cell r="J85">
            <v>-8996</v>
          </cell>
          <cell r="K85">
            <v>4334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egment"/>
      <sheetName val="Geographic"/>
    </sheetNames>
    <sheetDataSet>
      <sheetData sheetId="0">
        <row r="3">
          <cell r="L3">
            <v>812.44084899999996</v>
          </cell>
        </row>
        <row r="5">
          <cell r="L5">
            <v>10899</v>
          </cell>
        </row>
        <row r="6">
          <cell r="L6">
            <v>6260</v>
          </cell>
        </row>
      </sheetData>
      <sheetData sheetId="1">
        <row r="28">
          <cell r="P28">
            <v>1722</v>
          </cell>
          <cell r="Q28">
            <v>1705</v>
          </cell>
          <cell r="R28">
            <v>1731</v>
          </cell>
          <cell r="S28">
            <v>1185</v>
          </cell>
          <cell r="AH28">
            <v>7177</v>
          </cell>
        </row>
        <row r="83">
          <cell r="P83">
            <v>1135</v>
          </cell>
          <cell r="Q83">
            <v>2088</v>
          </cell>
          <cell r="R83">
            <v>2168</v>
          </cell>
          <cell r="S83">
            <v>544</v>
          </cell>
        </row>
      </sheetData>
      <sheetData sheetId="2"/>
      <sheetData sheetId="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2804.2339999999999</v>
          </cell>
        </row>
        <row r="6">
          <cell r="L6">
            <v>17823</v>
          </cell>
        </row>
        <row r="7">
          <cell r="L7">
            <v>96276</v>
          </cell>
        </row>
      </sheetData>
      <sheetData sheetId="1">
        <row r="19">
          <cell r="M19">
            <v>4106</v>
          </cell>
          <cell r="N19">
            <v>3619</v>
          </cell>
          <cell r="O19">
            <v>4821</v>
          </cell>
          <cell r="P19">
            <v>3593</v>
          </cell>
          <cell r="AC19">
            <v>14293</v>
          </cell>
        </row>
        <row r="55">
          <cell r="M55">
            <v>3283</v>
          </cell>
          <cell r="N55">
            <v>5124</v>
          </cell>
          <cell r="O55">
            <v>-2666</v>
          </cell>
          <cell r="P55">
            <v>71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nancials\Financials.xlsx" TargetMode="External"/><Relationship Id="rId3" Type="http://schemas.openxmlformats.org/officeDocument/2006/relationships/hyperlink" Target="..\Learning\Bedrijfseconomie.xlsx" TargetMode="External"/><Relationship Id="rId7" Type="http://schemas.openxmlformats.org/officeDocument/2006/relationships/hyperlink" Target="Consumer%20Discretionary\Consumer%20Discretionary.xlsx" TargetMode="External"/><Relationship Id="rId2" Type="http://schemas.openxmlformats.org/officeDocument/2006/relationships/hyperlink" Target="..\Learning\Payment%20processing.xlsx" TargetMode="External"/><Relationship Id="rId1" Type="http://schemas.openxmlformats.org/officeDocument/2006/relationships/hyperlink" Target="..\Learning\Semiconductors\Semiconductor%20terms.xlsx" TargetMode="External"/><Relationship Id="rId6" Type="http://schemas.openxmlformats.org/officeDocument/2006/relationships/hyperlink" Target="Communication%20Services\Communication%20Services.xlsx" TargetMode="External"/><Relationship Id="rId11" Type="http://schemas.openxmlformats.org/officeDocument/2006/relationships/hyperlink" Target="Industrials\Industrials.xlsx" TargetMode="External"/><Relationship Id="rId5" Type="http://schemas.openxmlformats.org/officeDocument/2006/relationships/hyperlink" Target="Information%20Technology\Information%20Technology.xlsx" TargetMode="External"/><Relationship Id="rId10" Type="http://schemas.openxmlformats.org/officeDocument/2006/relationships/hyperlink" Target="Health%20Care\Health%20Care.xlsx" TargetMode="External"/><Relationship Id="rId4" Type="http://schemas.openxmlformats.org/officeDocument/2006/relationships/hyperlink" Target="..\Learning\Investing_terms.xlsx" TargetMode="External"/><Relationship Id="rId9" Type="http://schemas.openxmlformats.org/officeDocument/2006/relationships/hyperlink" Target="Consumer%20Staples\Consumer%20Staples.xlsx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sbc.com/investors" TargetMode="External"/><Relationship Id="rId21" Type="http://schemas.openxmlformats.org/officeDocument/2006/relationships/hyperlink" Target="UNH.xlsx" TargetMode="External"/><Relationship Id="rId42" Type="http://schemas.openxmlformats.org/officeDocument/2006/relationships/hyperlink" Target="https://www.sec.gov/edgar/browse/?CIK=731766&amp;owner=exclude" TargetMode="External"/><Relationship Id="rId63" Type="http://schemas.openxmlformats.org/officeDocument/2006/relationships/hyperlink" Target="https://www.sec.gov/edgar/browse/?CIK=72971&amp;owner=exclude" TargetMode="External"/><Relationship Id="rId84" Type="http://schemas.openxmlformats.org/officeDocument/2006/relationships/hyperlink" Target="https://investor.mastercard.com/overview/default.aspx" TargetMode="External"/><Relationship Id="rId138" Type="http://schemas.openxmlformats.org/officeDocument/2006/relationships/hyperlink" Target="https://ir.bookingholdings.com/overview/default.aspx" TargetMode="External"/><Relationship Id="rId159" Type="http://schemas.openxmlformats.org/officeDocument/2006/relationships/hyperlink" Target="https://investors.pfizer.com/Investors/Overview/default.aspx" TargetMode="External"/><Relationship Id="rId170" Type="http://schemas.openxmlformats.org/officeDocument/2006/relationships/hyperlink" Target="https://www.sec.gov/edgar/browse/?CIK=895421&amp;owner=exclude" TargetMode="External"/><Relationship Id="rId107" Type="http://schemas.openxmlformats.org/officeDocument/2006/relationships/hyperlink" Target="https://www.ibm.com/investor" TargetMode="External"/><Relationship Id="rId11" Type="http://schemas.openxmlformats.org/officeDocument/2006/relationships/hyperlink" Target="Software\Fintech\V.xlsx" TargetMode="External"/><Relationship Id="rId32" Type="http://schemas.openxmlformats.org/officeDocument/2006/relationships/hyperlink" Target="https://www.sec.gov/edgar/browse/?CIK=1652044&amp;owner=exclude" TargetMode="External"/><Relationship Id="rId53" Type="http://schemas.openxmlformats.org/officeDocument/2006/relationships/hyperlink" Target="https://www.sec.gov/edgar/browse/?CIK=70858&amp;owner=exclude" TargetMode="External"/><Relationship Id="rId74" Type="http://schemas.openxmlformats.org/officeDocument/2006/relationships/hyperlink" Target="https://investor.atmeta.com/home/default.aspx" TargetMode="External"/><Relationship Id="rId128" Type="http://schemas.openxmlformats.org/officeDocument/2006/relationships/hyperlink" Target="https://www.rbc.com/investor-relations/" TargetMode="External"/><Relationship Id="rId149" Type="http://schemas.openxmlformats.org/officeDocument/2006/relationships/hyperlink" Target="https://totalenergies.com/investors" TargetMode="External"/><Relationship Id="rId5" Type="http://schemas.openxmlformats.org/officeDocument/2006/relationships/hyperlink" Target="Software\Internet\AMZN.xlsx" TargetMode="External"/><Relationship Id="rId95" Type="http://schemas.openxmlformats.org/officeDocument/2006/relationships/hyperlink" Target="https://investor.t-mobile.com/overview/default.aspx" TargetMode="External"/><Relationship Id="rId160" Type="http://schemas.openxmlformats.org/officeDocument/2006/relationships/hyperlink" Target="https://investor.deere.com/home/default.aspx" TargetMode="External"/><Relationship Id="rId22" Type="http://schemas.openxmlformats.org/officeDocument/2006/relationships/hyperlink" Target="Software\Internet\UBER.xlsx" TargetMode="External"/><Relationship Id="rId43" Type="http://schemas.openxmlformats.org/officeDocument/2006/relationships/hyperlink" Target="https://www.sec.gov/edgar/browse/?CIK=1141391&amp;owner=exclude" TargetMode="External"/><Relationship Id="rId64" Type="http://schemas.openxmlformats.org/officeDocument/2006/relationships/hyperlink" Target="https://www.sec.gov/edgar/browse/?CIK=40545&amp;owner=exclude" TargetMode="External"/><Relationship Id="rId118" Type="http://schemas.openxmlformats.org/officeDocument/2006/relationships/hyperlink" Target="https://www.verizon.com/about/investors" TargetMode="External"/><Relationship Id="rId139" Type="http://schemas.openxmlformats.org/officeDocument/2006/relationships/hyperlink" Target="https://www.adobe.com/investor-relations.html" TargetMode="External"/><Relationship Id="rId85" Type="http://schemas.openxmlformats.org/officeDocument/2006/relationships/hyperlink" Target="https://investor.exxonmobil.com/" TargetMode="External"/><Relationship Id="rId150" Type="http://schemas.openxmlformats.org/officeDocument/2006/relationships/hyperlink" Target="https://investors.danaher.com/" TargetMode="External"/><Relationship Id="rId171" Type="http://schemas.openxmlformats.org/officeDocument/2006/relationships/hyperlink" Target="Consumer%20Staples\PG.xlsx" TargetMode="External"/><Relationship Id="rId12" Type="http://schemas.openxmlformats.org/officeDocument/2006/relationships/hyperlink" Target="Software\Fintech\MA.xlsx" TargetMode="External"/><Relationship Id="rId33" Type="http://schemas.openxmlformats.org/officeDocument/2006/relationships/hyperlink" Target="https://www.sec.gov/edgar/browse/?CIK=1018724&amp;owner=exclude" TargetMode="External"/><Relationship Id="rId108" Type="http://schemas.openxmlformats.org/officeDocument/2006/relationships/hyperlink" Target="https://www.linde.com/investors" TargetMode="External"/><Relationship Id="rId129" Type="http://schemas.openxmlformats.org/officeDocument/2006/relationships/hyperlink" Target="https://investors.progressive.com/home/default.aspx" TargetMode="External"/><Relationship Id="rId54" Type="http://schemas.openxmlformats.org/officeDocument/2006/relationships/hyperlink" Target="https://www.sec.gov/edgar/browse/?CIK=1413329&amp;owner=exclude" TargetMode="External"/><Relationship Id="rId75" Type="http://schemas.openxmlformats.org/officeDocument/2006/relationships/hyperlink" Target="https://www.berkshirehathaway.com/" TargetMode="External"/><Relationship Id="rId96" Type="http://schemas.openxmlformats.org/officeDocument/2006/relationships/hyperlink" Target="https://www.novonordisk.com/investors.html" TargetMode="External"/><Relationship Id="rId140" Type="http://schemas.openxmlformats.org/officeDocument/2006/relationships/hyperlink" Target="https://www.mufg.jp/english/ir/index.html" TargetMode="External"/><Relationship Id="rId161" Type="http://schemas.openxmlformats.org/officeDocument/2006/relationships/hyperlink" Target="https://corporate.lowes.com/investors" TargetMode="External"/><Relationship Id="rId1" Type="http://schemas.openxmlformats.org/officeDocument/2006/relationships/hyperlink" Target="Hardware\Tech\AAPL.xlsx" TargetMode="External"/><Relationship Id="rId6" Type="http://schemas.openxmlformats.org/officeDocument/2006/relationships/hyperlink" Target="Software\Internet\META.xlsx" TargetMode="External"/><Relationship Id="rId23" Type="http://schemas.openxmlformats.org/officeDocument/2006/relationships/hyperlink" Target="Hardware\Semiconductors\AMD.xlsx" TargetMode="External"/><Relationship Id="rId28" Type="http://schemas.openxmlformats.org/officeDocument/2006/relationships/hyperlink" Target="TXN.xlsx" TargetMode="External"/><Relationship Id="rId49" Type="http://schemas.openxmlformats.org/officeDocument/2006/relationships/hyperlink" Target="https://www.sec.gov/edgar/browse/?CIK=354950&amp;owner=exclude" TargetMode="External"/><Relationship Id="rId114" Type="http://schemas.openxmlformats.org/officeDocument/2006/relationships/hyperlink" Target="https://investors.att.com/" TargetMode="External"/><Relationship Id="rId119" Type="http://schemas.openxmlformats.org/officeDocument/2006/relationships/hyperlink" Target="https://ir.americanexpress.com/investor-relations/default.aspx" TargetMode="External"/><Relationship Id="rId44" Type="http://schemas.openxmlformats.org/officeDocument/2006/relationships/hyperlink" Target="https://www.sec.gov/edgar/browse/?CIK=34088&amp;owner=exclude" TargetMode="External"/><Relationship Id="rId60" Type="http://schemas.openxmlformats.org/officeDocument/2006/relationships/hyperlink" Target="https://www.sec.gov/edgar/browse/?CIK=51143&amp;owner=exclude" TargetMode="External"/><Relationship Id="rId65" Type="http://schemas.openxmlformats.org/officeDocument/2006/relationships/hyperlink" Target="https://www.sec.gov/edgar/browse/?CIK=310158&amp;owner=exclude" TargetMode="External"/><Relationship Id="rId81" Type="http://schemas.openxmlformats.org/officeDocument/2006/relationships/hyperlink" Target="https://www.jpmorganchase.com/ir" TargetMode="External"/><Relationship Id="rId86" Type="http://schemas.openxmlformats.org/officeDocument/2006/relationships/hyperlink" Target="https://ir.netflix.net/financials/quarterly-earnings/default.aspx" TargetMode="External"/><Relationship Id="rId130" Type="http://schemas.openxmlformats.org/officeDocument/2006/relationships/hyperlink" Target="https://investors.amgen.com/" TargetMode="External"/><Relationship Id="rId135" Type="http://schemas.openxmlformats.org/officeDocument/2006/relationships/hyperlink" Target="https://ir.amd.com/" TargetMode="External"/><Relationship Id="rId151" Type="http://schemas.openxmlformats.org/officeDocument/2006/relationships/hyperlink" Target="https://investor.unionpacific.com/" TargetMode="External"/><Relationship Id="rId156" Type="http://schemas.openxmlformats.org/officeDocument/2006/relationships/hyperlink" Target="https://investor.pddholdings.com/" TargetMode="External"/><Relationship Id="rId172" Type="http://schemas.openxmlformats.org/officeDocument/2006/relationships/hyperlink" Target="Information%20Technology\AMAT.xlsx" TargetMode="External"/><Relationship Id="rId13" Type="http://schemas.openxmlformats.org/officeDocument/2006/relationships/hyperlink" Target="Software\Internet\NFLX.xlsx" TargetMode="External"/><Relationship Id="rId18" Type="http://schemas.openxmlformats.org/officeDocument/2006/relationships/hyperlink" Target="IBM.xlsx" TargetMode="External"/><Relationship Id="rId39" Type="http://schemas.openxmlformats.org/officeDocument/2006/relationships/hyperlink" Target="https://www.sec.gov/edgar/browse/?CIK=59478&amp;owner=exclude" TargetMode="External"/><Relationship Id="rId109" Type="http://schemas.openxmlformats.org/officeDocument/2006/relationships/hyperlink" Target="https://www.abbott.com/investors.html" TargetMode="External"/><Relationship Id="rId34" Type="http://schemas.openxmlformats.org/officeDocument/2006/relationships/hyperlink" Target="https://www.sec.gov/edgar/browse/?CIK=1326801&amp;owner=exclude" TargetMode="External"/><Relationship Id="rId50" Type="http://schemas.openxmlformats.org/officeDocument/2006/relationships/hyperlink" Target="https://www.sec.gov/edgar/browse/?CIK=1551152&amp;owner=exclude" TargetMode="External"/><Relationship Id="rId55" Type="http://schemas.openxmlformats.org/officeDocument/2006/relationships/hyperlink" Target="https://www.sec.gov/edgar/browse/?CIK=1108524&amp;owner=exclude" TargetMode="External"/><Relationship Id="rId76" Type="http://schemas.openxmlformats.org/officeDocument/2006/relationships/hyperlink" Target="https://investors.broadcom.com/" TargetMode="External"/><Relationship Id="rId97" Type="http://schemas.openxmlformats.org/officeDocument/2006/relationships/hyperlink" Target="https://investor.bankofamerica.com/" TargetMode="External"/><Relationship Id="rId104" Type="http://schemas.openxmlformats.org/officeDocument/2006/relationships/hyperlink" Target="https://investors.palantir.com/" TargetMode="External"/><Relationship Id="rId120" Type="http://schemas.openxmlformats.org/officeDocument/2006/relationships/hyperlink" Target="https://www.morganstanley.com/about-us-ir" TargetMode="External"/><Relationship Id="rId125" Type="http://schemas.openxmlformats.org/officeDocument/2006/relationships/hyperlink" Target="https://www.servicenow.com/company/investor-relations.html" TargetMode="External"/><Relationship Id="rId141" Type="http://schemas.openxmlformats.org/officeDocument/2006/relationships/hyperlink" Target="https://global.honda/en/investors/" TargetMode="External"/><Relationship Id="rId146" Type="http://schemas.openxmlformats.org/officeDocument/2006/relationships/hyperlink" Target="https://www.investor.nexteraenergy.com/" TargetMode="External"/><Relationship Id="rId167" Type="http://schemas.openxmlformats.org/officeDocument/2006/relationships/hyperlink" Target="https://www.bhp.com/investors" TargetMode="External"/><Relationship Id="rId7" Type="http://schemas.openxmlformats.org/officeDocument/2006/relationships/hyperlink" Target="Hardware\Semiconductors\AVGO.xlsx" TargetMode="External"/><Relationship Id="rId71" Type="http://schemas.openxmlformats.org/officeDocument/2006/relationships/hyperlink" Target="https://investor.nvidia.com/home/default.aspx" TargetMode="External"/><Relationship Id="rId92" Type="http://schemas.openxmlformats.org/officeDocument/2006/relationships/hyperlink" Target="https://www.sap.com/investors/en.html" TargetMode="External"/><Relationship Id="rId162" Type="http://schemas.openxmlformats.org/officeDocument/2006/relationships/hyperlink" Target="https://investors.adp.com/overview/default.aspx" TargetMode="External"/><Relationship Id="rId2" Type="http://schemas.openxmlformats.org/officeDocument/2006/relationships/hyperlink" Target="Software\Internet\MSFT.xlsx" TargetMode="External"/><Relationship Id="rId29" Type="http://schemas.openxmlformats.org/officeDocument/2006/relationships/hyperlink" Target="https://www.sec.gov/edgar/browse/?CIK=320193&amp;owner=exclude" TargetMode="External"/><Relationship Id="rId24" Type="http://schemas.openxmlformats.org/officeDocument/2006/relationships/hyperlink" Target="QCOM.xlsx" TargetMode="External"/><Relationship Id="rId40" Type="http://schemas.openxmlformats.org/officeDocument/2006/relationships/hyperlink" Target="https://www.sec.gov/edgar/browse/?CIK=19617&amp;owner=exclude" TargetMode="External"/><Relationship Id="rId45" Type="http://schemas.openxmlformats.org/officeDocument/2006/relationships/hyperlink" Target="https://www.sec.gov/edgar/browse/?CIK=1065280&amp;owner=exclude" TargetMode="External"/><Relationship Id="rId66" Type="http://schemas.openxmlformats.org/officeDocument/2006/relationships/hyperlink" Target="https://www.sec.gov/edgar/browse/?CIK=732717&amp;owner=exclude" TargetMode="External"/><Relationship Id="rId87" Type="http://schemas.openxmlformats.org/officeDocument/2006/relationships/hyperlink" Target="https://pginvestor.com/" TargetMode="External"/><Relationship Id="rId110" Type="http://schemas.openxmlformats.org/officeDocument/2006/relationships/hyperlink" Target="https://www.novartis.com/investors" TargetMode="External"/><Relationship Id="rId115" Type="http://schemas.openxmlformats.org/officeDocument/2006/relationships/hyperlink" Target="https://investor.accenture.com/" TargetMode="External"/><Relationship Id="rId131" Type="http://schemas.openxmlformats.org/officeDocument/2006/relationships/hyperlink" Target="https://www.goldmansachs.com/investor-relations" TargetMode="External"/><Relationship Id="rId136" Type="http://schemas.openxmlformats.org/officeDocument/2006/relationships/hyperlink" Target="https://thewaltdisneycompany.com/investor-relations/" TargetMode="External"/><Relationship Id="rId157" Type="http://schemas.openxmlformats.org/officeDocument/2006/relationships/hyperlink" Target="https://investor.honeywell.com/" TargetMode="External"/><Relationship Id="rId61" Type="http://schemas.openxmlformats.org/officeDocument/2006/relationships/hyperlink" Target="https://www.sec.gov/edgar/browse/?CIK=1707925&amp;owner=exclude" TargetMode="External"/><Relationship Id="rId82" Type="http://schemas.openxmlformats.org/officeDocument/2006/relationships/hyperlink" Target="https://investor.visa.com/" TargetMode="External"/><Relationship Id="rId152" Type="http://schemas.openxmlformats.org/officeDocument/2006/relationships/hyperlink" Target="https://investors.stryker.com/home/default.aspx" TargetMode="External"/><Relationship Id="rId173" Type="http://schemas.openxmlformats.org/officeDocument/2006/relationships/hyperlink" Target="https://www.sec.gov/edgar/browse/?CIK=6951&amp;owner=exclude" TargetMode="External"/><Relationship Id="rId19" Type="http://schemas.openxmlformats.org/officeDocument/2006/relationships/hyperlink" Target="Software\Fintech\AXP.xlsx" TargetMode="External"/><Relationship Id="rId14" Type="http://schemas.openxmlformats.org/officeDocument/2006/relationships/hyperlink" Target="KO.xlsx" TargetMode="External"/><Relationship Id="rId30" Type="http://schemas.openxmlformats.org/officeDocument/2006/relationships/hyperlink" Target="https://www.sec.gov/edgar/browse/?CIK=789019&amp;owner=exclude" TargetMode="External"/><Relationship Id="rId35" Type="http://schemas.openxmlformats.org/officeDocument/2006/relationships/hyperlink" Target="https://www.sec.gov/edgar/browse/?CIK=1067983&amp;owner=exclude" TargetMode="External"/><Relationship Id="rId56" Type="http://schemas.openxmlformats.org/officeDocument/2006/relationships/hyperlink" Target="https://www.sec.gov/edgar/browse/?CIK=93410&amp;owner=exclude" TargetMode="External"/><Relationship Id="rId77" Type="http://schemas.openxmlformats.org/officeDocument/2006/relationships/hyperlink" Target="https://ir.tesla.com/" TargetMode="External"/><Relationship Id="rId100" Type="http://schemas.openxmlformats.org/officeDocument/2006/relationships/hyperlink" Target="https://www.asml.com/en/investors" TargetMode="External"/><Relationship Id="rId105" Type="http://schemas.openxmlformats.org/officeDocument/2006/relationships/hyperlink" Target="https://investor.cisco.com/home/default.aspx" TargetMode="External"/><Relationship Id="rId126" Type="http://schemas.openxmlformats.org/officeDocument/2006/relationships/hyperlink" Target="https://ir.thermofisher.com/investors/overview/default.aspx" TargetMode="External"/><Relationship Id="rId147" Type="http://schemas.openxmlformats.org/officeDocument/2006/relationships/hyperlink" Target="https://investors.bostonscientific.com/" TargetMode="External"/><Relationship Id="rId168" Type="http://schemas.openxmlformats.org/officeDocument/2006/relationships/hyperlink" Target="https://www.sec.gov/edgar/browse/?CIK=732712&amp;owner=exclude" TargetMode="External"/><Relationship Id="rId8" Type="http://schemas.openxmlformats.org/officeDocument/2006/relationships/hyperlink" Target="TSLA.xlsx" TargetMode="External"/><Relationship Id="rId51" Type="http://schemas.openxmlformats.org/officeDocument/2006/relationships/hyperlink" Target="https://www.sec.gov/edgar/browse/?CIK=21344&amp;owner=exclude" TargetMode="External"/><Relationship Id="rId72" Type="http://schemas.openxmlformats.org/officeDocument/2006/relationships/hyperlink" Target="https://abc.xyz/investor/" TargetMode="External"/><Relationship Id="rId93" Type="http://schemas.openxmlformats.org/officeDocument/2006/relationships/hyperlink" Target="https://investors.abbvie.com/" TargetMode="External"/><Relationship Id="rId98" Type="http://schemas.openxmlformats.org/officeDocument/2006/relationships/hyperlink" Target="https://global.toyota/en/ir/" TargetMode="External"/><Relationship Id="rId121" Type="http://schemas.openxmlformats.org/officeDocument/2006/relationships/hyperlink" Target="https://www.hdfcbank.com/personal/about-us/investor-relations" TargetMode="External"/><Relationship Id="rId142" Type="http://schemas.openxmlformats.org/officeDocument/2006/relationships/hyperlink" Target="https://investor.spglobal.com/investor-relations-overview/default.aspx" TargetMode="External"/><Relationship Id="rId163" Type="http://schemas.openxmlformats.org/officeDocument/2006/relationships/hyperlink" Target="https://www.citigroup.com/global/investors" TargetMode="External"/><Relationship Id="rId3" Type="http://schemas.openxmlformats.org/officeDocument/2006/relationships/hyperlink" Target="Hardware\Semiconductors\NVDA.xlsx" TargetMode="External"/><Relationship Id="rId25" Type="http://schemas.openxmlformats.org/officeDocument/2006/relationships/hyperlink" Target="Software\Internet\BKNG.xlsx" TargetMode="External"/><Relationship Id="rId46" Type="http://schemas.openxmlformats.org/officeDocument/2006/relationships/hyperlink" Target="https://www.sec.gov/edgar/browse/?CIK=80424&amp;owner=exclude" TargetMode="External"/><Relationship Id="rId67" Type="http://schemas.openxmlformats.org/officeDocument/2006/relationships/hyperlink" Target="https://www.sec.gov/edgar/browse/?CIK=1467373&amp;owner=exclude" TargetMode="External"/><Relationship Id="rId116" Type="http://schemas.openxmlformats.org/officeDocument/2006/relationships/hyperlink" Target="https://www.pepsico.com/investors/investor-relations" TargetMode="External"/><Relationship Id="rId137" Type="http://schemas.openxmlformats.org/officeDocument/2006/relationships/hyperlink" Target="https://investor.qualcomm.com/overview/default.aspx" TargetMode="External"/><Relationship Id="rId158" Type="http://schemas.openxmlformats.org/officeDocument/2006/relationships/hyperlink" Target="https://investors.vrtx.com/" TargetMode="External"/><Relationship Id="rId20" Type="http://schemas.openxmlformats.org/officeDocument/2006/relationships/hyperlink" Target="Software\Internet\NOW.xlsx" TargetMode="External"/><Relationship Id="rId41" Type="http://schemas.openxmlformats.org/officeDocument/2006/relationships/hyperlink" Target="https://www.sec.gov/edgar/browse/?CIK=1403161&amp;owner=exclude" TargetMode="External"/><Relationship Id="rId62" Type="http://schemas.openxmlformats.org/officeDocument/2006/relationships/hyperlink" Target="https://www.sec.gov/edgar/browse/?CIK=1800&amp;owner=exclude" TargetMode="External"/><Relationship Id="rId83" Type="http://schemas.openxmlformats.org/officeDocument/2006/relationships/hyperlink" Target="https://www.unitedhealthgroup.com/investors.html" TargetMode="External"/><Relationship Id="rId88" Type="http://schemas.openxmlformats.org/officeDocument/2006/relationships/hyperlink" Target="https://www.shell.com/investors.html" TargetMode="External"/><Relationship Id="rId111" Type="http://schemas.openxmlformats.org/officeDocument/2006/relationships/hyperlink" Target="https://www.wellsfargo.com/about/investor-relations/" TargetMode="External"/><Relationship Id="rId132" Type="http://schemas.openxmlformats.org/officeDocument/2006/relationships/hyperlink" Target="https://www.sony.com/en/SonyInfo/IR/" TargetMode="External"/><Relationship Id="rId153" Type="http://schemas.openxmlformats.org/officeDocument/2006/relationships/hyperlink" Target="https://investors.gilead.com/overview/default.aspx" TargetMode="External"/><Relationship Id="rId174" Type="http://schemas.openxmlformats.org/officeDocument/2006/relationships/hyperlink" Target="Information%20Technology\ORCL.xlsx" TargetMode="External"/><Relationship Id="rId15" Type="http://schemas.openxmlformats.org/officeDocument/2006/relationships/hyperlink" Target="Hardware\Semiconductors\ASML.xlsx" TargetMode="External"/><Relationship Id="rId36" Type="http://schemas.openxmlformats.org/officeDocument/2006/relationships/hyperlink" Target="https://www.sec.gov/edgar/browse/?CIK=1730168&amp;owner=exclude" TargetMode="External"/><Relationship Id="rId57" Type="http://schemas.openxmlformats.org/officeDocument/2006/relationships/hyperlink" Target="https://www.sec.gov/edgar/browse/?CIK=1321655&amp;owner=exclude" TargetMode="External"/><Relationship Id="rId106" Type="http://schemas.openxmlformats.org/officeDocument/2006/relationships/hyperlink" Target="https://corporate.mcdonalds.com/corpmcd/investors.html" TargetMode="External"/><Relationship Id="rId127" Type="http://schemas.openxmlformats.org/officeDocument/2006/relationships/hyperlink" Target="https://investors.intuit.com/" TargetMode="External"/><Relationship Id="rId10" Type="http://schemas.openxmlformats.org/officeDocument/2006/relationships/hyperlink" Target="Retail\Grocery\WMT.xlsx" TargetMode="External"/><Relationship Id="rId31" Type="http://schemas.openxmlformats.org/officeDocument/2006/relationships/hyperlink" Target="https://www.sec.gov/edgar/browse/?CIK=1045810&amp;owner=exclude" TargetMode="External"/><Relationship Id="rId52" Type="http://schemas.openxmlformats.org/officeDocument/2006/relationships/hyperlink" Target="https://www.sec.gov/edgar/browse/?CIK=1283699&amp;owner=exclude" TargetMode="External"/><Relationship Id="rId73" Type="http://schemas.openxmlformats.org/officeDocument/2006/relationships/hyperlink" Target="https://ir.aboutamazon.com/overview/default.aspx" TargetMode="External"/><Relationship Id="rId78" Type="http://schemas.openxmlformats.org/officeDocument/2006/relationships/hyperlink" Target="https://investor.tsmc.com/english" TargetMode="External"/><Relationship Id="rId94" Type="http://schemas.openxmlformats.org/officeDocument/2006/relationships/hyperlink" Target="https://investors.coca-colacompany.com/" TargetMode="External"/><Relationship Id="rId99" Type="http://schemas.openxmlformats.org/officeDocument/2006/relationships/hyperlink" Target="https://www.alibabagroup.com/en-US/investor-relations" TargetMode="External"/><Relationship Id="rId101" Type="http://schemas.openxmlformats.org/officeDocument/2006/relationships/hyperlink" Target="https://www.pmi.com/investor-relations/overview" TargetMode="External"/><Relationship Id="rId122" Type="http://schemas.openxmlformats.org/officeDocument/2006/relationships/hyperlink" Target="https://isrg.intuitive.com/" TargetMode="External"/><Relationship Id="rId143" Type="http://schemas.openxmlformats.org/officeDocument/2006/relationships/hyperlink" Target="https://investor.tjx.com/" TargetMode="External"/><Relationship Id="rId148" Type="http://schemas.openxmlformats.org/officeDocument/2006/relationships/hyperlink" Target="https://investor.ti.com/" TargetMode="External"/><Relationship Id="rId164" Type="http://schemas.openxmlformats.org/officeDocument/2006/relationships/hyperlink" Target="https://investors.fiserv.com/" TargetMode="External"/><Relationship Id="rId169" Type="http://schemas.openxmlformats.org/officeDocument/2006/relationships/hyperlink" Target="https://www.sec.gov/edgar/browse/?CIK=4962&amp;owner=exclude" TargetMode="External"/><Relationship Id="rId4" Type="http://schemas.openxmlformats.org/officeDocument/2006/relationships/hyperlink" Target="Software\Internet\GOOG.xlsx" TargetMode="External"/><Relationship Id="rId9" Type="http://schemas.openxmlformats.org/officeDocument/2006/relationships/hyperlink" Target="Hardware\Semiconductors\TSM.xlsx" TargetMode="External"/><Relationship Id="rId26" Type="http://schemas.openxmlformats.org/officeDocument/2006/relationships/hyperlink" Target="Hardware\Tech\ADBE.xlsx" TargetMode="External"/><Relationship Id="rId47" Type="http://schemas.openxmlformats.org/officeDocument/2006/relationships/hyperlink" Target="https://www.sec.gov/edgar/browse/?CIK=1341439&amp;owner=exclude" TargetMode="External"/><Relationship Id="rId68" Type="http://schemas.openxmlformats.org/officeDocument/2006/relationships/hyperlink" Target="https://www.sec.gov/edgar/browse/?CIK=77476&amp;owner=exclude" TargetMode="External"/><Relationship Id="rId89" Type="http://schemas.openxmlformats.org/officeDocument/2006/relationships/hyperlink" Target="https://investor.oracle.com/home/default.aspx" TargetMode="External"/><Relationship Id="rId112" Type="http://schemas.openxmlformats.org/officeDocument/2006/relationships/hyperlink" Target="https://www.geaerospace.com/investor-relations" TargetMode="External"/><Relationship Id="rId133" Type="http://schemas.openxmlformats.org/officeDocument/2006/relationships/hyperlink" Target="https://www.unilever.com/investors/" TargetMode="External"/><Relationship Id="rId154" Type="http://schemas.openxmlformats.org/officeDocument/2006/relationships/hyperlink" Target="https://ir.blackrock.com/home/default.aspx" TargetMode="External"/><Relationship Id="rId175" Type="http://schemas.openxmlformats.org/officeDocument/2006/relationships/vmlDrawing" Target="../drawings/vmlDrawing1.vml"/><Relationship Id="rId16" Type="http://schemas.openxmlformats.org/officeDocument/2006/relationships/hyperlink" Target="CRM(2).xlsx" TargetMode="External"/><Relationship Id="rId37" Type="http://schemas.openxmlformats.org/officeDocument/2006/relationships/hyperlink" Target="https://www.sec.gov/edgar/browse/?CIK=1318605&amp;owner=exclude" TargetMode="External"/><Relationship Id="rId58" Type="http://schemas.openxmlformats.org/officeDocument/2006/relationships/hyperlink" Target="https://www.sec.gov/edgar/browse/?CIK=858877&amp;owner=exclude" TargetMode="External"/><Relationship Id="rId79" Type="http://schemas.openxmlformats.org/officeDocument/2006/relationships/hyperlink" Target="https://stock.walmart.com/" TargetMode="External"/><Relationship Id="rId102" Type="http://schemas.openxmlformats.org/officeDocument/2006/relationships/hyperlink" Target="https://investor.salesforce.com/overview/default.aspx" TargetMode="External"/><Relationship Id="rId123" Type="http://schemas.openxmlformats.org/officeDocument/2006/relationships/hyperlink" Target="https://investors.rtx.com/" TargetMode="External"/><Relationship Id="rId144" Type="http://schemas.openxmlformats.org/officeDocument/2006/relationships/hyperlink" Target="https://investors.caterpillar.com/overview/default.aspx" TargetMode="External"/><Relationship Id="rId90" Type="http://schemas.openxmlformats.org/officeDocument/2006/relationships/hyperlink" Target="https://www.investor.jnj.com/overview/default.aspx" TargetMode="External"/><Relationship Id="rId165" Type="http://schemas.openxmlformats.org/officeDocument/2006/relationships/hyperlink" Target="https://ir.appliedmaterials.com/" TargetMode="External"/><Relationship Id="rId27" Type="http://schemas.openxmlformats.org/officeDocument/2006/relationships/hyperlink" Target="Software\Fintech\SPGI.xlsx" TargetMode="External"/><Relationship Id="rId48" Type="http://schemas.openxmlformats.org/officeDocument/2006/relationships/hyperlink" Target="https://www.sec.gov/edgar/browse/?CIK=200406&amp;owner=exclude" TargetMode="External"/><Relationship Id="rId69" Type="http://schemas.openxmlformats.org/officeDocument/2006/relationships/hyperlink" Target="https://investor.apple.com/investor-relations/default.aspx" TargetMode="External"/><Relationship Id="rId113" Type="http://schemas.openxmlformats.org/officeDocument/2006/relationships/hyperlink" Target="https://www.merck.com/investor-relations/" TargetMode="External"/><Relationship Id="rId134" Type="http://schemas.openxmlformats.org/officeDocument/2006/relationships/hyperlink" Target="https://investor.uber.com/home/default.aspx" TargetMode="External"/><Relationship Id="rId80" Type="http://schemas.openxmlformats.org/officeDocument/2006/relationships/hyperlink" Target="https://investor.lilly.com/" TargetMode="External"/><Relationship Id="rId155" Type="http://schemas.openxmlformats.org/officeDocument/2006/relationships/hyperlink" Target="https://www.cmcsa.com/" TargetMode="External"/><Relationship Id="rId176" Type="http://schemas.openxmlformats.org/officeDocument/2006/relationships/comments" Target="../comments1.xml"/><Relationship Id="rId17" Type="http://schemas.openxmlformats.org/officeDocument/2006/relationships/hyperlink" Target="MCD.xlsx" TargetMode="External"/><Relationship Id="rId38" Type="http://schemas.openxmlformats.org/officeDocument/2006/relationships/hyperlink" Target="https://www.sec.gov/edgar/browse/?CIK=104169&amp;owner=exclude" TargetMode="External"/><Relationship Id="rId59" Type="http://schemas.openxmlformats.org/officeDocument/2006/relationships/hyperlink" Target="https://www.sec.gov/edgar/browse/?CIK=63908&amp;owner=exclude" TargetMode="External"/><Relationship Id="rId103" Type="http://schemas.openxmlformats.org/officeDocument/2006/relationships/hyperlink" Target="https://www.chevron.com/investors" TargetMode="External"/><Relationship Id="rId124" Type="http://schemas.openxmlformats.org/officeDocument/2006/relationships/hyperlink" Target="https://ir.satixfy.com/overview/default.aspx" TargetMode="External"/><Relationship Id="rId70" Type="http://schemas.openxmlformats.org/officeDocument/2006/relationships/hyperlink" Target="https://www.microsoft.com/en-us/investor/default" TargetMode="External"/><Relationship Id="rId91" Type="http://schemas.openxmlformats.org/officeDocument/2006/relationships/hyperlink" Target="https://ir.homedepot.com/" TargetMode="External"/><Relationship Id="rId145" Type="http://schemas.openxmlformats.org/officeDocument/2006/relationships/hyperlink" Target="https://www.aboutschwab.com/investor-relations" TargetMode="External"/><Relationship Id="rId166" Type="http://schemas.openxmlformats.org/officeDocument/2006/relationships/hyperlink" Target="https://investors.chubb.com/home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B43C-DB36-487B-8C73-FDAB2BD8C915}">
  <dimension ref="B2:K34"/>
  <sheetViews>
    <sheetView workbookViewId="0">
      <selection activeCell="B3" sqref="B3"/>
    </sheetView>
  </sheetViews>
  <sheetFormatPr defaultRowHeight="12.75" x14ac:dyDescent="0.2"/>
  <cols>
    <col min="1" max="1" width="3.7109375" customWidth="1"/>
    <col min="2" max="2" width="9.140625" customWidth="1"/>
    <col min="4" max="6" width="9.140625" customWidth="1"/>
    <col min="10" max="10" width="9.140625" customWidth="1"/>
  </cols>
  <sheetData>
    <row r="2" spans="2:11" x14ac:dyDescent="0.2">
      <c r="B2" s="2" t="s">
        <v>400</v>
      </c>
    </row>
    <row r="3" spans="2:11" x14ac:dyDescent="0.2">
      <c r="B3" s="9" t="s">
        <v>245</v>
      </c>
      <c r="G3" s="9" t="s">
        <v>213</v>
      </c>
      <c r="K3" s="2" t="s">
        <v>401</v>
      </c>
    </row>
    <row r="4" spans="2:11" x14ac:dyDescent="0.2">
      <c r="B4" s="30" t="s">
        <v>210</v>
      </c>
      <c r="G4" s="30" t="s">
        <v>232</v>
      </c>
      <c r="K4" s="25" t="s">
        <v>219</v>
      </c>
    </row>
    <row r="5" spans="2:11" x14ac:dyDescent="0.2">
      <c r="B5" s="30" t="s">
        <v>218</v>
      </c>
      <c r="G5" s="30" t="s">
        <v>233</v>
      </c>
      <c r="K5" s="25" t="s">
        <v>402</v>
      </c>
    </row>
    <row r="6" spans="2:11" x14ac:dyDescent="0.2">
      <c r="B6" s="30" t="s">
        <v>219</v>
      </c>
      <c r="G6" s="30" t="s">
        <v>234</v>
      </c>
      <c r="K6" s="25" t="s">
        <v>403</v>
      </c>
    </row>
    <row r="7" spans="2:11" x14ac:dyDescent="0.2">
      <c r="B7" s="30" t="s">
        <v>223</v>
      </c>
      <c r="G7" s="30" t="s">
        <v>235</v>
      </c>
      <c r="K7" s="25" t="s">
        <v>404</v>
      </c>
    </row>
    <row r="8" spans="2:11" x14ac:dyDescent="0.2">
      <c r="B8" s="30" t="s">
        <v>220</v>
      </c>
      <c r="G8" s="30" t="s">
        <v>253</v>
      </c>
    </row>
    <row r="9" spans="2:11" x14ac:dyDescent="0.2">
      <c r="B9" s="30" t="s">
        <v>221</v>
      </c>
      <c r="G9" s="9" t="s">
        <v>214</v>
      </c>
    </row>
    <row r="10" spans="2:11" x14ac:dyDescent="0.2">
      <c r="B10" s="30" t="s">
        <v>222</v>
      </c>
      <c r="G10" s="30" t="s">
        <v>237</v>
      </c>
    </row>
    <row r="11" spans="2:11" x14ac:dyDescent="0.2">
      <c r="B11" s="30" t="s">
        <v>241</v>
      </c>
      <c r="G11" s="30" t="s">
        <v>236</v>
      </c>
    </row>
    <row r="12" spans="2:11" x14ac:dyDescent="0.2">
      <c r="B12" s="9" t="s">
        <v>211</v>
      </c>
      <c r="G12" s="30" t="s">
        <v>238</v>
      </c>
    </row>
    <row r="13" spans="2:11" x14ac:dyDescent="0.2">
      <c r="B13" s="30" t="s">
        <v>224</v>
      </c>
      <c r="G13" s="30" t="s">
        <v>254</v>
      </c>
    </row>
    <row r="14" spans="2:11" x14ac:dyDescent="0.2">
      <c r="B14" s="30" t="s">
        <v>225</v>
      </c>
      <c r="G14" s="30" t="s">
        <v>255</v>
      </c>
    </row>
    <row r="15" spans="2:11" x14ac:dyDescent="0.2">
      <c r="B15" s="30" t="s">
        <v>226</v>
      </c>
      <c r="G15" s="9" t="s">
        <v>217</v>
      </c>
    </row>
    <row r="16" spans="2:11" x14ac:dyDescent="0.2">
      <c r="B16" s="30" t="s">
        <v>227</v>
      </c>
      <c r="G16" s="30" t="s">
        <v>244</v>
      </c>
    </row>
    <row r="17" spans="2:7" x14ac:dyDescent="0.2">
      <c r="B17" s="30" t="s">
        <v>247</v>
      </c>
      <c r="G17" s="30" t="s">
        <v>243</v>
      </c>
    </row>
    <row r="18" spans="2:7" x14ac:dyDescent="0.2">
      <c r="B18" s="30" t="s">
        <v>228</v>
      </c>
      <c r="G18" s="30" t="s">
        <v>262</v>
      </c>
    </row>
    <row r="19" spans="2:7" x14ac:dyDescent="0.2">
      <c r="B19" s="9" t="s">
        <v>212</v>
      </c>
      <c r="G19" s="30" t="s">
        <v>264</v>
      </c>
    </row>
    <row r="20" spans="2:7" x14ac:dyDescent="0.2">
      <c r="B20" s="30" t="s">
        <v>229</v>
      </c>
      <c r="G20" s="30" t="s">
        <v>265</v>
      </c>
    </row>
    <row r="21" spans="2:7" x14ac:dyDescent="0.2">
      <c r="B21" s="30" t="s">
        <v>228</v>
      </c>
      <c r="G21" t="s">
        <v>216</v>
      </c>
    </row>
    <row r="22" spans="2:7" x14ac:dyDescent="0.2">
      <c r="B22" s="30" t="s">
        <v>230</v>
      </c>
      <c r="G22" s="30" t="s">
        <v>242</v>
      </c>
    </row>
    <row r="23" spans="2:7" x14ac:dyDescent="0.2">
      <c r="B23" s="30" t="s">
        <v>249</v>
      </c>
      <c r="G23" t="s">
        <v>266</v>
      </c>
    </row>
    <row r="24" spans="2:7" x14ac:dyDescent="0.2">
      <c r="B24" s="30" t="s">
        <v>251</v>
      </c>
      <c r="G24" s="30" t="s">
        <v>267</v>
      </c>
    </row>
    <row r="25" spans="2:7" x14ac:dyDescent="0.2">
      <c r="B25" s="30" t="s">
        <v>252</v>
      </c>
      <c r="G25" t="s">
        <v>268</v>
      </c>
    </row>
    <row r="26" spans="2:7" x14ac:dyDescent="0.2">
      <c r="B26" s="30" t="s">
        <v>231</v>
      </c>
      <c r="G26" s="30" t="s">
        <v>269</v>
      </c>
    </row>
    <row r="27" spans="2:7" x14ac:dyDescent="0.2">
      <c r="B27" s="9" t="s">
        <v>215</v>
      </c>
    </row>
    <row r="28" spans="2:7" x14ac:dyDescent="0.2">
      <c r="B28" s="30" t="s">
        <v>239</v>
      </c>
    </row>
    <row r="29" spans="2:7" x14ac:dyDescent="0.2">
      <c r="B29" s="30" t="s">
        <v>241</v>
      </c>
    </row>
    <row r="30" spans="2:7" x14ac:dyDescent="0.2">
      <c r="B30" s="30" t="s">
        <v>240</v>
      </c>
    </row>
    <row r="31" spans="2:7" x14ac:dyDescent="0.2">
      <c r="B31" s="30" t="s">
        <v>256</v>
      </c>
    </row>
    <row r="32" spans="2:7" x14ac:dyDescent="0.2">
      <c r="B32" s="30" t="s">
        <v>257</v>
      </c>
    </row>
    <row r="33" spans="2:2" x14ac:dyDescent="0.2">
      <c r="B33" s="30" t="s">
        <v>258</v>
      </c>
    </row>
    <row r="34" spans="2:2" x14ac:dyDescent="0.2">
      <c r="B34" s="30" t="s">
        <v>261</v>
      </c>
    </row>
  </sheetData>
  <hyperlinks>
    <hyperlink ref="K4" r:id="rId1" xr:uid="{1A4D170A-CB68-41D9-B307-354D669F1226}"/>
    <hyperlink ref="K5" r:id="rId2" xr:uid="{6E5A9B56-4B03-4626-9BEB-E0E2E9AF50ED}"/>
    <hyperlink ref="K6" r:id="rId3" xr:uid="{190BD068-7688-46FD-A55E-D977B34BBBF3}"/>
    <hyperlink ref="K7" r:id="rId4" xr:uid="{0F32AA46-D2F0-4F9F-B1A6-001A385835A5}"/>
    <hyperlink ref="B3" r:id="rId5" xr:uid="{10D7A334-CA5B-4BDD-B3FD-08F219A96CB6}"/>
    <hyperlink ref="B12" r:id="rId6" xr:uid="{B1CDB576-4760-45BE-B62A-38CDB2E2F724}"/>
    <hyperlink ref="B19" r:id="rId7" xr:uid="{5FE559AD-B870-4B43-B02A-D61542C3FE5E}"/>
    <hyperlink ref="B27" r:id="rId8" xr:uid="{ED4ED03F-82D5-4745-ABCD-63B27AF9D086}"/>
    <hyperlink ref="G3" r:id="rId9" xr:uid="{2637DBC0-ADC9-4301-BAA2-7C21059C8682}"/>
    <hyperlink ref="G9" r:id="rId10" xr:uid="{7C04DAE0-DED4-4B23-B62F-496999172596}"/>
    <hyperlink ref="G15" r:id="rId11" xr:uid="{35FFB749-98E7-4940-8606-2B40CC6D6A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C89C-4631-4894-BDCA-BE9F9C9FA682}">
  <dimension ref="A1:AV101"/>
  <sheetViews>
    <sheetView tabSelected="1"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41" sqref="K41"/>
    </sheetView>
  </sheetViews>
  <sheetFormatPr defaultRowHeight="12.75" x14ac:dyDescent="0.2"/>
  <cols>
    <col min="1" max="1" width="6.5703125" style="28" bestFit="1" customWidth="1"/>
    <col min="2" max="2" width="11.28515625" bestFit="1" customWidth="1"/>
    <col min="3" max="3" width="19.7109375" customWidth="1"/>
    <col min="4" max="4" width="22.7109375" customWidth="1"/>
    <col min="5" max="5" width="35.140625" style="8" bestFit="1" customWidth="1"/>
    <col min="6" max="6" width="9.140625" style="18"/>
    <col min="7" max="10" width="9.140625" style="19"/>
    <col min="11" max="11" width="9.140625" style="21"/>
    <col min="12" max="12" width="9.140625" style="20"/>
    <col min="13" max="13" width="10.7109375" style="22" bestFit="1" customWidth="1"/>
    <col min="14" max="14" width="9.140625" style="20"/>
    <col min="15" max="15" width="9.140625" style="23"/>
    <col min="16" max="16" width="9.140625" style="20"/>
    <col min="17" max="17" width="9.140625" style="23"/>
    <col min="18" max="20" width="9.140625" style="20"/>
    <col min="21" max="23" width="9.140625" style="23"/>
    <col min="24" max="24" width="9.140625" style="22"/>
    <col min="25" max="25" width="9.140625" style="20"/>
    <col min="26" max="26" width="7.42578125" style="8" customWidth="1"/>
    <col min="27" max="27" width="17.28515625" style="8" customWidth="1"/>
  </cols>
  <sheetData>
    <row r="1" spans="1:48" x14ac:dyDescent="0.2">
      <c r="A1" s="26" t="s">
        <v>15</v>
      </c>
      <c r="B1" t="s">
        <v>295</v>
      </c>
      <c r="C1" t="s">
        <v>296</v>
      </c>
    </row>
    <row r="2" spans="1:48" s="1" customFormat="1" ht="12.95" customHeight="1" x14ac:dyDescent="0.2">
      <c r="A2" s="27"/>
      <c r="B2" s="3" t="s">
        <v>1</v>
      </c>
      <c r="C2" s="2" t="s">
        <v>0</v>
      </c>
      <c r="D2" s="2" t="s">
        <v>16</v>
      </c>
      <c r="E2" s="3" t="s">
        <v>17</v>
      </c>
      <c r="F2" s="10" t="s">
        <v>2</v>
      </c>
      <c r="G2" s="11" t="s">
        <v>3</v>
      </c>
      <c r="H2" s="11" t="s">
        <v>4</v>
      </c>
      <c r="I2" s="11" t="s">
        <v>5</v>
      </c>
      <c r="J2" s="11" t="s">
        <v>6</v>
      </c>
      <c r="K2" s="12" t="s">
        <v>7</v>
      </c>
      <c r="L2" s="13" t="s">
        <v>8</v>
      </c>
      <c r="M2" s="14" t="s">
        <v>274</v>
      </c>
      <c r="N2" s="11" t="s">
        <v>11</v>
      </c>
      <c r="O2" s="16" t="s">
        <v>12</v>
      </c>
      <c r="P2" s="11" t="s">
        <v>9</v>
      </c>
      <c r="Q2" s="16" t="s">
        <v>10</v>
      </c>
      <c r="R2" s="15">
        <v>2024</v>
      </c>
      <c r="S2" s="15">
        <v>2025</v>
      </c>
      <c r="T2" s="15">
        <v>2026</v>
      </c>
      <c r="U2" s="16">
        <v>2024</v>
      </c>
      <c r="V2" s="16">
        <v>2025</v>
      </c>
      <c r="W2" s="16">
        <v>2026</v>
      </c>
      <c r="X2" s="14" t="s">
        <v>272</v>
      </c>
      <c r="Y2" s="17" t="s">
        <v>13</v>
      </c>
      <c r="Z2" s="14" t="s">
        <v>14</v>
      </c>
      <c r="AA2" s="3" t="s">
        <v>292</v>
      </c>
      <c r="AB2" s="6"/>
      <c r="AC2" s="4"/>
      <c r="AI2" s="7"/>
      <c r="AJ2" s="7"/>
      <c r="AK2" s="4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</row>
    <row r="3" spans="1:48" x14ac:dyDescent="0.2">
      <c r="A3" s="28">
        <v>45778</v>
      </c>
      <c r="B3" s="9" t="s">
        <v>19</v>
      </c>
      <c r="C3" s="9" t="s">
        <v>18</v>
      </c>
      <c r="D3" t="s">
        <v>245</v>
      </c>
      <c r="E3" s="8" t="s">
        <v>210</v>
      </c>
      <c r="F3" s="18">
        <v>197.8</v>
      </c>
      <c r="G3" s="19">
        <f t="shared" ref="G3:G33" si="0">+F3*J3</f>
        <v>2996841.0970000001</v>
      </c>
      <c r="H3" s="19">
        <f>+[1]Main!$I$6-[1]Main!$I$7</f>
        <v>44569</v>
      </c>
      <c r="I3" s="19">
        <f t="shared" ref="I3:I33" si="1">+G3-H3</f>
        <v>2952272.0970000001</v>
      </c>
      <c r="J3" s="19">
        <f>+[1]Main!$I$4</f>
        <v>15150.865</v>
      </c>
      <c r="K3" s="21">
        <v>45763</v>
      </c>
      <c r="L3" s="20" t="s">
        <v>275</v>
      </c>
      <c r="M3" s="22">
        <v>0.02</v>
      </c>
      <c r="N3" s="19">
        <f>+SUM([1]Model!$L$106:$O$106)</f>
        <v>98299</v>
      </c>
      <c r="O3" s="23">
        <f>+$I3/N3</f>
        <v>30.033592376321224</v>
      </c>
      <c r="P3" s="19">
        <f>+SUM([1]Model!$L$44:$O$44)</f>
        <v>96150</v>
      </c>
      <c r="Q3" s="23">
        <f>+$I3/P3</f>
        <v>30.704858003120126</v>
      </c>
      <c r="R3" s="19">
        <f>+[1]Model!$AB$44</f>
        <v>93736</v>
      </c>
      <c r="U3" s="23">
        <f t="shared" ref="U3:U33" si="2">+$I3/R3</f>
        <v>31.495605711786293</v>
      </c>
      <c r="V3" s="23" t="e">
        <f t="shared" ref="V3:V33" si="3">+$I3/S3</f>
        <v>#DIV/0!</v>
      </c>
      <c r="W3" s="23" t="e">
        <f t="shared" ref="W3:W33" si="4">+$I3/T3</f>
        <v>#DIV/0!</v>
      </c>
      <c r="X3" s="22">
        <v>0.47</v>
      </c>
      <c r="Y3" s="20">
        <v>1976</v>
      </c>
      <c r="Z3" s="8" t="s">
        <v>276</v>
      </c>
      <c r="AA3" s="25" t="s">
        <v>293</v>
      </c>
    </row>
    <row r="4" spans="1:48" x14ac:dyDescent="0.2">
      <c r="A4" s="28">
        <v>45777</v>
      </c>
      <c r="B4" s="9" t="s">
        <v>20</v>
      </c>
      <c r="C4" s="9" t="s">
        <v>21</v>
      </c>
      <c r="D4" t="s">
        <v>245</v>
      </c>
      <c r="E4" t="s">
        <v>218</v>
      </c>
      <c r="F4" s="18">
        <v>375.23</v>
      </c>
      <c r="G4" s="19">
        <f t="shared" si="0"/>
        <v>2839740.64</v>
      </c>
      <c r="H4" s="19">
        <f>+[2]Main!$K$5-[2]Main!$K$6</f>
        <v>42166</v>
      </c>
      <c r="I4" s="19">
        <f t="shared" si="1"/>
        <v>2797574.64</v>
      </c>
      <c r="J4" s="19">
        <v>7568</v>
      </c>
      <c r="K4" s="21">
        <v>45763</v>
      </c>
      <c r="L4" s="20" t="s">
        <v>277</v>
      </c>
      <c r="M4" s="22">
        <v>0.16</v>
      </c>
      <c r="N4" s="19">
        <f>+SUM([2]Model!$M$103:$P$103)</f>
        <v>70031</v>
      </c>
      <c r="O4" s="23">
        <f>+$I4/N4</f>
        <v>39.947660893033088</v>
      </c>
      <c r="P4" s="19">
        <f>+SUM([2]Model!$M$27:$P$27)</f>
        <v>92750</v>
      </c>
      <c r="Q4" s="23">
        <f>+$I4/P4</f>
        <v>30.162529811320756</v>
      </c>
      <c r="R4" s="19">
        <f>+[2]Model!$AD$27</f>
        <v>88136</v>
      </c>
      <c r="U4" s="23">
        <f t="shared" si="2"/>
        <v>31.741565762004178</v>
      </c>
      <c r="V4" s="23" t="e">
        <f t="shared" si="3"/>
        <v>#DIV/0!</v>
      </c>
      <c r="W4" s="23" t="e">
        <f t="shared" si="4"/>
        <v>#DIV/0!</v>
      </c>
      <c r="X4" s="22">
        <v>0.31</v>
      </c>
      <c r="Y4" s="20">
        <v>1975</v>
      </c>
      <c r="Z4" s="8" t="s">
        <v>278</v>
      </c>
      <c r="AA4" s="24" t="s">
        <v>294</v>
      </c>
    </row>
    <row r="5" spans="1:48" x14ac:dyDescent="0.2">
      <c r="A5" s="28">
        <v>45805</v>
      </c>
      <c r="B5" s="9" t="s">
        <v>23</v>
      </c>
      <c r="C5" s="9" t="s">
        <v>22</v>
      </c>
      <c r="D5" t="s">
        <v>245</v>
      </c>
      <c r="E5" t="s">
        <v>219</v>
      </c>
      <c r="F5" s="18">
        <v>103.23</v>
      </c>
      <c r="G5" s="19">
        <f t="shared" si="0"/>
        <v>2518812</v>
      </c>
      <c r="H5" s="19">
        <f>+[3]Main!$L$6-[3]Main!$L$7</f>
        <v>34747</v>
      </c>
      <c r="I5" s="19">
        <f t="shared" si="1"/>
        <v>2484065</v>
      </c>
      <c r="J5" s="19">
        <f>+[3]Main!$L$4</f>
        <v>24400</v>
      </c>
      <c r="K5" s="21">
        <v>45763</v>
      </c>
      <c r="L5" s="20" t="s">
        <v>280</v>
      </c>
      <c r="M5" s="22">
        <v>1.1399999999999999</v>
      </c>
      <c r="O5" s="23" t="e">
        <f>+$I5/N5</f>
        <v>#DIV/0!</v>
      </c>
      <c r="P5" s="19">
        <f>+SUM([3]Model!$N$19:$Q$19)</f>
        <v>71846</v>
      </c>
      <c r="Q5" s="23">
        <f>+$I5/P5</f>
        <v>34.574854550009746</v>
      </c>
      <c r="R5" s="19">
        <f>+[3]Model!$AG$19</f>
        <v>71846</v>
      </c>
      <c r="U5" s="23">
        <f t="shared" si="2"/>
        <v>34.574854550009746</v>
      </c>
      <c r="V5" s="23" t="e">
        <f t="shared" si="3"/>
        <v>#DIV/0!</v>
      </c>
      <c r="W5" s="23" t="e">
        <f t="shared" si="4"/>
        <v>#DIV/0!</v>
      </c>
      <c r="Y5" s="20">
        <v>1993</v>
      </c>
      <c r="Z5" s="8" t="s">
        <v>281</v>
      </c>
      <c r="AA5" s="24" t="s">
        <v>297</v>
      </c>
    </row>
    <row r="6" spans="1:48" x14ac:dyDescent="0.2">
      <c r="A6" s="28">
        <v>45771</v>
      </c>
      <c r="B6" s="9" t="s">
        <v>25</v>
      </c>
      <c r="C6" s="9" t="s">
        <v>24</v>
      </c>
      <c r="D6" t="s">
        <v>211</v>
      </c>
      <c r="E6" t="s">
        <v>224</v>
      </c>
      <c r="F6" s="18">
        <v>155.66</v>
      </c>
      <c r="G6" s="19">
        <f t="shared" si="0"/>
        <v>1922089.68</v>
      </c>
      <c r="H6" s="19">
        <f>+[4]Main!$L$7-[4]Main!$L$8</f>
        <v>122756</v>
      </c>
      <c r="I6" s="19">
        <f t="shared" si="1"/>
        <v>1799333.68</v>
      </c>
      <c r="J6" s="19">
        <f>+[4]Main!$L$5</f>
        <v>12348</v>
      </c>
      <c r="K6" s="21">
        <v>45763</v>
      </c>
      <c r="L6" s="20" t="s">
        <v>279</v>
      </c>
      <c r="M6" s="22">
        <v>0.14000000000000001</v>
      </c>
      <c r="N6" s="19">
        <f>+SUM([4]Model!$O$121:$R$121)</f>
        <v>72764</v>
      </c>
      <c r="O6" s="23">
        <f>+$I6/N6</f>
        <v>24.72835028310703</v>
      </c>
      <c r="P6" s="19">
        <f>+SUM([4]Model!$O$27:$R$27)</f>
        <v>100118</v>
      </c>
      <c r="Q6" s="23">
        <f>+$I6/P6</f>
        <v>17.972129686969375</v>
      </c>
      <c r="R6" s="19">
        <f>+[4]Model!AI$27</f>
        <v>100118</v>
      </c>
      <c r="S6" s="19">
        <f>+[4]Model!AJ$27</f>
        <v>98017.385599999994</v>
      </c>
      <c r="T6" s="19">
        <f>+[4]Model!AK$27</f>
        <v>107022.09408271998</v>
      </c>
      <c r="U6" s="23">
        <f t="shared" si="2"/>
        <v>17.972129686969375</v>
      </c>
      <c r="V6" s="23">
        <f t="shared" si="3"/>
        <v>18.357291096733761</v>
      </c>
      <c r="W6" s="23">
        <f t="shared" si="4"/>
        <v>16.812731010563585</v>
      </c>
      <c r="X6" s="22">
        <v>0.13</v>
      </c>
      <c r="Y6" s="20">
        <v>1998</v>
      </c>
      <c r="Z6" s="8" t="s">
        <v>282</v>
      </c>
      <c r="AA6" s="24" t="s">
        <v>298</v>
      </c>
    </row>
    <row r="7" spans="1:48" x14ac:dyDescent="0.2">
      <c r="A7" s="28">
        <v>45776</v>
      </c>
      <c r="B7" s="9" t="s">
        <v>27</v>
      </c>
      <c r="C7" s="9" t="s">
        <v>26</v>
      </c>
      <c r="D7" t="s">
        <v>212</v>
      </c>
      <c r="E7" t="s">
        <v>228</v>
      </c>
      <c r="F7" s="18">
        <v>174.03</v>
      </c>
      <c r="G7" s="19">
        <f t="shared" si="0"/>
        <v>1874477.1300000001</v>
      </c>
      <c r="H7" s="19">
        <f>+[5]Main!$L$6-[5]Main!$L$7</f>
        <v>48579</v>
      </c>
      <c r="I7" s="19">
        <f t="shared" si="1"/>
        <v>1825898.1300000001</v>
      </c>
      <c r="J7" s="19">
        <f>+[5]Main!$L$4</f>
        <v>10771</v>
      </c>
      <c r="K7" s="21">
        <v>45763</v>
      </c>
      <c r="L7" s="20" t="s">
        <v>279</v>
      </c>
      <c r="M7" s="22">
        <v>0.11</v>
      </c>
      <c r="N7" s="19">
        <f>+SUM([5]Model!$N$71:$Q$71)</f>
        <v>32878</v>
      </c>
      <c r="O7" s="23">
        <f>+$I7/N7</f>
        <v>55.535559644747252</v>
      </c>
      <c r="P7" s="19">
        <f>+SUM([5]Model!$N$18:$Q$18)</f>
        <v>62365</v>
      </c>
      <c r="Q7" s="23">
        <f>+$I7/P7</f>
        <v>29.277609716988696</v>
      </c>
      <c r="R7" s="19">
        <f>+[5]Model!AI$18</f>
        <v>62365</v>
      </c>
      <c r="S7" s="19">
        <f>+[5]Model!AJ$18</f>
        <v>65145.023999999998</v>
      </c>
      <c r="T7" s="19">
        <f>+[5]Model!AK$18</f>
        <v>78645.63543999994</v>
      </c>
      <c r="U7" s="23">
        <f t="shared" si="2"/>
        <v>29.277609716988696</v>
      </c>
      <c r="V7" s="23">
        <f t="shared" si="3"/>
        <v>28.028205653896148</v>
      </c>
      <c r="W7" s="23">
        <f t="shared" si="4"/>
        <v>23.216776363807348</v>
      </c>
      <c r="X7" s="22">
        <v>0.08</v>
      </c>
      <c r="Y7" s="20">
        <v>1994</v>
      </c>
      <c r="Z7" s="8" t="s">
        <v>283</v>
      </c>
      <c r="AA7" s="24" t="s">
        <v>299</v>
      </c>
    </row>
    <row r="8" spans="1:48" x14ac:dyDescent="0.2">
      <c r="A8" s="28">
        <v>45777</v>
      </c>
      <c r="B8" s="9" t="s">
        <v>29</v>
      </c>
      <c r="C8" s="9" t="s">
        <v>28</v>
      </c>
      <c r="D8" t="s">
        <v>211</v>
      </c>
      <c r="E8" t="s">
        <v>224</v>
      </c>
      <c r="F8" s="18">
        <v>501.71</v>
      </c>
      <c r="G8" s="19">
        <f t="shared" si="0"/>
        <v>1311469.94</v>
      </c>
      <c r="H8" s="19">
        <f>+[6]Main!$M$7-[6]Main!$M$8</f>
        <v>48989</v>
      </c>
      <c r="I8" s="19">
        <f t="shared" si="1"/>
        <v>1262480.94</v>
      </c>
      <c r="J8" s="19">
        <f>+[6]Main!$M$5</f>
        <v>2614</v>
      </c>
      <c r="K8" s="21">
        <v>45763</v>
      </c>
      <c r="L8" s="20" t="s">
        <v>279</v>
      </c>
      <c r="M8" s="22">
        <v>0.22</v>
      </c>
      <c r="N8" s="19">
        <f>+SUM([6]Model!$R$99:$U$99)</f>
        <v>54072</v>
      </c>
      <c r="O8" s="23">
        <f>+$I8/N8</f>
        <v>23.348145805592541</v>
      </c>
      <c r="P8" s="19">
        <f>+SUM([6]Model!$R$27:$U$27)</f>
        <v>60876.4</v>
      </c>
      <c r="Q8" s="23">
        <f>+$I8/P8</f>
        <v>20.738429670611271</v>
      </c>
      <c r="R8" s="19">
        <f>+[6]Model!AM$27</f>
        <v>62360</v>
      </c>
      <c r="S8" s="19">
        <f>+[6]Model!AN$27</f>
        <v>61837.52</v>
      </c>
      <c r="T8" s="19">
        <f>+[6]Model!AO$27</f>
        <v>68557.542080000014</v>
      </c>
      <c r="U8" s="23">
        <f t="shared" si="2"/>
        <v>20.245043938422064</v>
      </c>
      <c r="V8" s="23">
        <f t="shared" si="3"/>
        <v>20.416099157922247</v>
      </c>
      <c r="W8" s="23">
        <f t="shared" si="4"/>
        <v>18.414909602896891</v>
      </c>
      <c r="X8" s="22">
        <v>0.15</v>
      </c>
      <c r="Y8" s="20">
        <v>2004</v>
      </c>
      <c r="Z8" s="8" t="s">
        <v>284</v>
      </c>
      <c r="AA8" s="24" t="s">
        <v>300</v>
      </c>
    </row>
    <row r="9" spans="1:48" x14ac:dyDescent="0.2">
      <c r="B9" s="9" t="s">
        <v>31</v>
      </c>
      <c r="C9" t="s">
        <v>30</v>
      </c>
      <c r="D9" t="s">
        <v>215</v>
      </c>
      <c r="E9" t="s">
        <v>239</v>
      </c>
      <c r="G9" s="19">
        <f t="shared" si="0"/>
        <v>0</v>
      </c>
      <c r="I9" s="19">
        <f t="shared" si="1"/>
        <v>0</v>
      </c>
      <c r="O9" s="23" t="e">
        <f>+$I9/N9</f>
        <v>#DIV/0!</v>
      </c>
      <c r="Q9" s="23" t="e">
        <f>+$I9/P9</f>
        <v>#DIV/0!</v>
      </c>
      <c r="U9" s="23" t="e">
        <f t="shared" si="2"/>
        <v>#DIV/0!</v>
      </c>
      <c r="V9" s="23" t="e">
        <f t="shared" si="3"/>
        <v>#DIV/0!</v>
      </c>
      <c r="W9" s="23" t="e">
        <f t="shared" si="4"/>
        <v>#DIV/0!</v>
      </c>
      <c r="AA9" s="24" t="s">
        <v>301</v>
      </c>
    </row>
    <row r="10" spans="1:48" x14ac:dyDescent="0.2">
      <c r="A10" s="28">
        <v>45819</v>
      </c>
      <c r="B10" s="9" t="s">
        <v>33</v>
      </c>
      <c r="C10" s="9" t="s">
        <v>32</v>
      </c>
      <c r="D10" t="s">
        <v>245</v>
      </c>
      <c r="E10" t="s">
        <v>219</v>
      </c>
      <c r="F10" s="18">
        <v>171</v>
      </c>
      <c r="G10" s="19">
        <f t="shared" si="0"/>
        <v>804033.23060700006</v>
      </c>
      <c r="H10" s="19">
        <f>+[7]Main!$L$6-[7]Main!$L$7</f>
        <v>-57272</v>
      </c>
      <c r="I10" s="19">
        <f t="shared" si="1"/>
        <v>861305.23060700006</v>
      </c>
      <c r="J10" s="19">
        <f>+[7]Main!$L$4</f>
        <v>4701.9487170000002</v>
      </c>
      <c r="K10" s="21">
        <v>45764</v>
      </c>
      <c r="L10" s="20" t="s">
        <v>271</v>
      </c>
      <c r="M10" s="22">
        <v>0.44</v>
      </c>
      <c r="N10" s="19">
        <f>+SUM([7]Model!$P$74:$S$74)</f>
        <v>20724</v>
      </c>
      <c r="O10" s="23">
        <f>+$I10/N10</f>
        <v>41.560761947838259</v>
      </c>
      <c r="P10" s="19">
        <f>+SUM([7]Model!$P$15:$S$15)</f>
        <v>14121</v>
      </c>
      <c r="Q10" s="23">
        <f>+$I10/P10</f>
        <v>60.994634275688696</v>
      </c>
      <c r="R10" s="19">
        <f>+[7]Model!$AH$15</f>
        <v>10539</v>
      </c>
      <c r="U10" s="23">
        <f t="shared" si="2"/>
        <v>81.725517658886048</v>
      </c>
      <c r="V10" s="23" t="e">
        <f t="shared" si="3"/>
        <v>#DIV/0!</v>
      </c>
      <c r="W10" s="23" t="e">
        <f t="shared" si="4"/>
        <v>#DIV/0!</v>
      </c>
      <c r="X10" s="22">
        <v>0.72</v>
      </c>
      <c r="Y10" s="20">
        <v>1991</v>
      </c>
      <c r="Z10" s="8" t="s">
        <v>396</v>
      </c>
      <c r="AA10" s="24" t="s">
        <v>302</v>
      </c>
    </row>
    <row r="11" spans="1:48" x14ac:dyDescent="0.2">
      <c r="A11" s="28">
        <v>45769</v>
      </c>
      <c r="B11" s="9" t="s">
        <v>35</v>
      </c>
      <c r="C11" s="9" t="s">
        <v>34</v>
      </c>
      <c r="D11" t="s">
        <v>212</v>
      </c>
      <c r="E11" t="s">
        <v>229</v>
      </c>
      <c r="F11" s="18">
        <v>240</v>
      </c>
      <c r="G11" s="19">
        <f t="shared" si="0"/>
        <v>771964.08888000005</v>
      </c>
      <c r="H11" s="19">
        <f>+[8]Main!$K$7-[8]Main!$K$8</f>
        <v>29426</v>
      </c>
      <c r="I11" s="19">
        <f t="shared" si="1"/>
        <v>742538.08888000005</v>
      </c>
      <c r="J11" s="19">
        <v>3216.5170370000001</v>
      </c>
      <c r="K11" s="21">
        <v>45763</v>
      </c>
      <c r="L11" s="20" t="s">
        <v>279</v>
      </c>
      <c r="M11" s="22">
        <v>0.01</v>
      </c>
      <c r="N11" s="19">
        <f>+SUM([8]Model!$J$97:$M$97)</f>
        <v>3584</v>
      </c>
      <c r="O11" s="23">
        <f>+$I11/N11</f>
        <v>207.18138640625003</v>
      </c>
      <c r="P11" s="19">
        <f>+SUM([8]Model!$J$26:$M$26)</f>
        <v>7142</v>
      </c>
      <c r="Q11" s="23">
        <f>+$I11/P11</f>
        <v>103.96780858022963</v>
      </c>
      <c r="R11" s="19">
        <f>+[8]Model!$Y$26</f>
        <v>7142</v>
      </c>
      <c r="U11" s="23">
        <f t="shared" si="2"/>
        <v>103.96780858022963</v>
      </c>
      <c r="V11" s="23" t="e">
        <f t="shared" si="3"/>
        <v>#DIV/0!</v>
      </c>
      <c r="W11" s="23" t="e">
        <f t="shared" si="4"/>
        <v>#DIV/0!</v>
      </c>
      <c r="X11" s="22">
        <v>0.08</v>
      </c>
      <c r="Y11" s="20">
        <v>2003</v>
      </c>
      <c r="Z11" s="8" t="s">
        <v>285</v>
      </c>
      <c r="AA11" s="24" t="s">
        <v>303</v>
      </c>
    </row>
    <row r="12" spans="1:48" x14ac:dyDescent="0.2">
      <c r="A12" s="29" t="s">
        <v>395</v>
      </c>
      <c r="B12" t="s">
        <v>36</v>
      </c>
      <c r="C12" s="9" t="s">
        <v>37</v>
      </c>
      <c r="D12" t="s">
        <v>245</v>
      </c>
      <c r="E12" t="s">
        <v>219</v>
      </c>
      <c r="F12" s="18">
        <v>151</v>
      </c>
      <c r="G12" s="19">
        <f t="shared" si="0"/>
        <v>783055.8</v>
      </c>
      <c r="H12" s="19">
        <f>+[9]Main!$L$7-[9]Main!$L$8</f>
        <v>55830</v>
      </c>
      <c r="I12" s="19">
        <f t="shared" si="1"/>
        <v>727225.8</v>
      </c>
      <c r="J12" s="19">
        <f>+[9]Main!$L$5</f>
        <v>5185.8</v>
      </c>
      <c r="K12" s="21">
        <v>45764</v>
      </c>
      <c r="L12" s="20" t="s">
        <v>271</v>
      </c>
      <c r="M12" s="22">
        <v>0.3</v>
      </c>
      <c r="N12" s="19">
        <f>+SUM([9]Model!$T$79:$W$79)</f>
        <v>26331</v>
      </c>
      <c r="O12" s="23">
        <f>+$I12/N12</f>
        <v>27.618616839466789</v>
      </c>
      <c r="P12" s="19">
        <f>+SUM([9]Model!$T$20:$W$20)</f>
        <v>39919.85</v>
      </c>
      <c r="Q12" s="23">
        <f>+$I12/P12</f>
        <v>18.217147609522584</v>
      </c>
      <c r="R12" s="19">
        <f>+[9]Model!AL$20</f>
        <v>36140.74</v>
      </c>
      <c r="S12" s="19">
        <f>+[9]Model!AM$20</f>
        <v>42438.739199999996</v>
      </c>
      <c r="T12" s="19">
        <f>+[9]Model!AN$20</f>
        <v>49664.368188119966</v>
      </c>
      <c r="U12" s="23">
        <f t="shared" si="2"/>
        <v>20.122050627629651</v>
      </c>
      <c r="V12" s="23">
        <f t="shared" si="3"/>
        <v>17.135895498045336</v>
      </c>
      <c r="W12" s="23">
        <f t="shared" si="4"/>
        <v>14.642807842544086</v>
      </c>
      <c r="X12" s="22">
        <v>0.28999999999999998</v>
      </c>
      <c r="Y12" s="20">
        <v>1987</v>
      </c>
      <c r="Z12" s="8" t="s">
        <v>286</v>
      </c>
      <c r="AA12" s="24" t="s">
        <v>304</v>
      </c>
    </row>
    <row r="13" spans="1:48" x14ac:dyDescent="0.2">
      <c r="A13" s="28">
        <v>45792</v>
      </c>
      <c r="B13" s="9" t="s">
        <v>38</v>
      </c>
      <c r="C13" s="9" t="s">
        <v>39</v>
      </c>
      <c r="D13" t="s">
        <v>213</v>
      </c>
      <c r="E13" t="s">
        <v>232</v>
      </c>
      <c r="F13" s="18">
        <v>93.22</v>
      </c>
      <c r="G13" s="19">
        <f t="shared" si="0"/>
        <v>747330.70516968006</v>
      </c>
      <c r="H13" s="19">
        <f>+[10]Main!$L$6-[10]Main!$L$7</f>
        <v>-30030</v>
      </c>
      <c r="I13" s="19">
        <f t="shared" si="1"/>
        <v>777360.70516968006</v>
      </c>
      <c r="J13" s="19">
        <f>+[10]Main!$L$4</f>
        <v>8016.8494440000004</v>
      </c>
      <c r="K13" s="21">
        <v>45767</v>
      </c>
      <c r="L13" s="20" t="s">
        <v>280</v>
      </c>
      <c r="M13" s="22">
        <v>0.05</v>
      </c>
      <c r="N13" s="19">
        <f>+SUM([10]Model!$J$88:$M$88)</f>
        <v>13092</v>
      </c>
      <c r="O13" s="23">
        <f>+$I13/N13</f>
        <v>59.376772469422555</v>
      </c>
      <c r="P13" s="19">
        <f>+SUM([10]Model!$J$24:$M$24)</f>
        <v>20951</v>
      </c>
      <c r="Q13" s="23">
        <f>+$I13/P13</f>
        <v>37.103751857652618</v>
      </c>
      <c r="R13" s="19">
        <f>+[10]Model!AB$24</f>
        <v>20951</v>
      </c>
      <c r="S13" s="19">
        <f>+[10]Model!AC$24</f>
        <v>19484.094180000004</v>
      </c>
      <c r="T13" s="19">
        <f>+[10]Model!AD$24</f>
        <v>20935.998507759006</v>
      </c>
      <c r="U13" s="23">
        <f t="shared" si="2"/>
        <v>37.103751857652618</v>
      </c>
      <c r="V13" s="23">
        <f t="shared" si="3"/>
        <v>39.897195013952654</v>
      </c>
      <c r="W13" s="23">
        <f t="shared" si="4"/>
        <v>37.130338201045703</v>
      </c>
      <c r="X13" s="22">
        <v>0.09</v>
      </c>
      <c r="Y13" s="20">
        <v>1962</v>
      </c>
      <c r="Z13" s="8" t="s">
        <v>398</v>
      </c>
      <c r="AA13" s="24" t="s">
        <v>305</v>
      </c>
    </row>
    <row r="14" spans="1:48" x14ac:dyDescent="0.2">
      <c r="A14" s="28">
        <v>45778</v>
      </c>
      <c r="B14" s="9" t="s">
        <v>40</v>
      </c>
      <c r="C14" t="s">
        <v>55</v>
      </c>
      <c r="D14" t="s">
        <v>214</v>
      </c>
      <c r="E14" t="s">
        <v>236</v>
      </c>
      <c r="G14" s="19">
        <f t="shared" si="0"/>
        <v>0</v>
      </c>
      <c r="I14" s="19">
        <f t="shared" si="1"/>
        <v>0</v>
      </c>
      <c r="O14" s="23" t="e">
        <f>+$I14/N14</f>
        <v>#DIV/0!</v>
      </c>
      <c r="Q14" s="23" t="e">
        <f>+$I14/P14</f>
        <v>#DIV/0!</v>
      </c>
      <c r="U14" s="23" t="e">
        <f t="shared" si="2"/>
        <v>#DIV/0!</v>
      </c>
      <c r="V14" s="23" t="e">
        <f t="shared" si="3"/>
        <v>#DIV/0!</v>
      </c>
      <c r="W14" s="23" t="e">
        <f t="shared" si="4"/>
        <v>#DIV/0!</v>
      </c>
      <c r="AA14" s="24" t="s">
        <v>306</v>
      </c>
    </row>
    <row r="15" spans="1:48" x14ac:dyDescent="0.2">
      <c r="B15" s="9" t="s">
        <v>41</v>
      </c>
      <c r="C15" t="s">
        <v>54</v>
      </c>
      <c r="D15" t="s">
        <v>215</v>
      </c>
      <c r="E15" t="s">
        <v>240</v>
      </c>
      <c r="G15" s="19">
        <f t="shared" si="0"/>
        <v>0</v>
      </c>
      <c r="I15" s="19">
        <f t="shared" si="1"/>
        <v>0</v>
      </c>
      <c r="O15" s="23" t="e">
        <f>+$I15/N15</f>
        <v>#DIV/0!</v>
      </c>
      <c r="Q15" s="23" t="e">
        <f>+$I15/P15</f>
        <v>#DIV/0!</v>
      </c>
      <c r="U15" s="23" t="e">
        <f t="shared" si="2"/>
        <v>#DIV/0!</v>
      </c>
      <c r="V15" s="23" t="e">
        <f t="shared" si="3"/>
        <v>#DIV/0!</v>
      </c>
      <c r="W15" s="23" t="e">
        <f t="shared" si="4"/>
        <v>#DIV/0!</v>
      </c>
      <c r="AA15" s="24" t="s">
        <v>307</v>
      </c>
    </row>
    <row r="16" spans="1:48" x14ac:dyDescent="0.2">
      <c r="A16" s="28">
        <v>45776</v>
      </c>
      <c r="B16" s="9" t="s">
        <v>42</v>
      </c>
      <c r="C16" s="9" t="s">
        <v>43</v>
      </c>
      <c r="D16" t="s">
        <v>215</v>
      </c>
      <c r="E16" t="s">
        <v>241</v>
      </c>
      <c r="F16" s="18">
        <v>332</v>
      </c>
      <c r="G16" s="19">
        <f t="shared" si="0"/>
        <v>575224.19168399996</v>
      </c>
      <c r="H16" s="19">
        <f>+[11]Main!$L$6-[11]Main!$L$7</f>
        <v>-1406</v>
      </c>
      <c r="I16" s="19">
        <f t="shared" si="1"/>
        <v>576630.19168399996</v>
      </c>
      <c r="J16" s="19">
        <f>+[11]Main!$L$4</f>
        <v>1732.602987</v>
      </c>
      <c r="K16" s="21">
        <v>45763</v>
      </c>
      <c r="L16" s="20" t="s">
        <v>275</v>
      </c>
      <c r="M16" s="22">
        <v>0.1</v>
      </c>
      <c r="N16" s="19">
        <f>+SUM([11]Model!$L$110:$O$110)</f>
        <v>20397</v>
      </c>
      <c r="O16" s="23">
        <f>+$I16/N16</f>
        <v>28.270343270284844</v>
      </c>
      <c r="P16" s="19">
        <f>+SUM([11]Model!$L$46:$O$46)</f>
        <v>21345</v>
      </c>
      <c r="Q16" s="23">
        <f>+$I16/P16</f>
        <v>27.014766534738811</v>
      </c>
      <c r="R16" s="19">
        <f>+[11]Model!X$46</f>
        <v>21239</v>
      </c>
      <c r="S16" s="19">
        <f>+[11]Model!Y$46</f>
        <v>21980.030719999999</v>
      </c>
      <c r="T16" s="19">
        <f>+[11]Model!Z$46</f>
        <v>23839.646246400007</v>
      </c>
      <c r="U16" s="23">
        <f t="shared" si="2"/>
        <v>27.149592338810677</v>
      </c>
      <c r="V16" s="23">
        <f t="shared" si="3"/>
        <v>26.234275967563342</v>
      </c>
      <c r="W16" s="23">
        <f t="shared" si="4"/>
        <v>24.187866955914924</v>
      </c>
      <c r="X16" s="22">
        <v>0.78</v>
      </c>
      <c r="Y16" s="20">
        <v>1958</v>
      </c>
      <c r="Z16" s="8" t="s">
        <v>287</v>
      </c>
      <c r="AA16" s="24" t="s">
        <v>308</v>
      </c>
    </row>
    <row r="17" spans="1:27" x14ac:dyDescent="0.2">
      <c r="A17" s="29" t="s">
        <v>395</v>
      </c>
      <c r="B17" s="9" t="s">
        <v>44</v>
      </c>
      <c r="C17" s="9" t="s">
        <v>52</v>
      </c>
      <c r="D17" t="s">
        <v>214</v>
      </c>
      <c r="E17" t="s">
        <v>237</v>
      </c>
      <c r="F17" s="18">
        <v>466</v>
      </c>
      <c r="G17" s="19">
        <f t="shared" si="0"/>
        <v>427788</v>
      </c>
      <c r="H17" s="19">
        <f>+[12]Main!$L$6-[12]Main!$L$7</f>
        <v>4883</v>
      </c>
      <c r="I17" s="19">
        <f t="shared" si="1"/>
        <v>422905</v>
      </c>
      <c r="J17" s="19">
        <f>+[12]Main!$L$4</f>
        <v>918</v>
      </c>
      <c r="K17" s="21">
        <v>45764</v>
      </c>
      <c r="L17" s="20" t="s">
        <v>279</v>
      </c>
      <c r="M17" s="22">
        <v>0.08</v>
      </c>
      <c r="N17" s="19">
        <f>+SUM([12]Model!$O$66:$R$66)</f>
        <v>24862</v>
      </c>
      <c r="O17" s="23">
        <f>+$I17/N17</f>
        <v>17.010095728420882</v>
      </c>
      <c r="P17" s="19">
        <f>+SUM([12]Model!$O$16:$R$16)</f>
        <v>28339</v>
      </c>
      <c r="Q17" s="23">
        <f>+$I17/P17</f>
        <v>14.923074208687675</v>
      </c>
      <c r="R17" s="19">
        <f>+[12]Model!$AG$16</f>
        <v>27651</v>
      </c>
      <c r="U17" s="23">
        <f t="shared" si="2"/>
        <v>15.294383566597952</v>
      </c>
      <c r="V17" s="23" t="e">
        <f t="shared" si="3"/>
        <v>#DIV/0!</v>
      </c>
      <c r="W17" s="23" t="e">
        <f t="shared" si="4"/>
        <v>#DIV/0!</v>
      </c>
      <c r="X17" s="22">
        <v>0.13</v>
      </c>
      <c r="Y17" s="20">
        <v>1977</v>
      </c>
      <c r="Z17" s="8" t="s">
        <v>290</v>
      </c>
      <c r="AA17" s="24" t="s">
        <v>309</v>
      </c>
    </row>
    <row r="18" spans="1:27" x14ac:dyDescent="0.2">
      <c r="A18" s="28">
        <v>45778</v>
      </c>
      <c r="B18" s="9" t="s">
        <v>45</v>
      </c>
      <c r="C18" s="9" t="s">
        <v>46</v>
      </c>
      <c r="D18" t="s">
        <v>215</v>
      </c>
      <c r="E18" t="s">
        <v>241</v>
      </c>
      <c r="F18" s="18">
        <v>515.89</v>
      </c>
      <c r="G18" s="19">
        <f t="shared" si="0"/>
        <v>470341.30116033996</v>
      </c>
      <c r="H18" s="19">
        <f>+[13]Main!$L$6-[13]Main!$L$7</f>
        <v>-9454</v>
      </c>
      <c r="I18" s="19">
        <f t="shared" si="1"/>
        <v>479795.30116033996</v>
      </c>
      <c r="J18" s="19">
        <f>+[13]Main!$L$4</f>
        <v>911.70850599999994</v>
      </c>
      <c r="K18" s="21">
        <v>45763</v>
      </c>
      <c r="L18" s="20" t="s">
        <v>279</v>
      </c>
      <c r="M18" s="22">
        <v>0.12</v>
      </c>
      <c r="N18" s="19">
        <f>+SUM([13]Model!$G$40:$J$40)</f>
        <v>14306</v>
      </c>
      <c r="O18" s="23">
        <f>+$I18/N18</f>
        <v>33.53804705440654</v>
      </c>
      <c r="P18" s="19">
        <f>+SUM([13]Model!$G$27:$J$27)</f>
        <v>14123</v>
      </c>
      <c r="Q18" s="23">
        <f>+$I18/P18</f>
        <v>33.972619214072076</v>
      </c>
      <c r="R18" s="19">
        <f>+[13]Model!U$27</f>
        <v>14123</v>
      </c>
      <c r="S18" s="19">
        <f>+[13]Model!V$27</f>
        <v>14778.045896</v>
      </c>
      <c r="T18" s="19">
        <f>+[13]Model!W$27</f>
        <v>16146.540728144002</v>
      </c>
      <c r="U18" s="23">
        <f t="shared" si="2"/>
        <v>33.972619214072076</v>
      </c>
      <c r="V18" s="23">
        <f t="shared" si="3"/>
        <v>32.466762150888094</v>
      </c>
      <c r="W18" s="23">
        <f t="shared" si="4"/>
        <v>29.715052235556527</v>
      </c>
      <c r="X18" s="22">
        <v>0.57999999999999996</v>
      </c>
      <c r="Y18" s="20">
        <v>1966</v>
      </c>
      <c r="Z18" s="8" t="s">
        <v>288</v>
      </c>
      <c r="AA18" s="24" t="s">
        <v>310</v>
      </c>
    </row>
    <row r="19" spans="1:27" x14ac:dyDescent="0.2">
      <c r="B19" s="9" t="s">
        <v>47</v>
      </c>
      <c r="C19" t="s">
        <v>53</v>
      </c>
      <c r="D19" t="s">
        <v>216</v>
      </c>
      <c r="E19" t="s">
        <v>242</v>
      </c>
      <c r="G19" s="19">
        <f t="shared" si="0"/>
        <v>0</v>
      </c>
      <c r="I19" s="19">
        <f t="shared" si="1"/>
        <v>0</v>
      </c>
      <c r="O19" s="23" t="e">
        <f>+$I19/N19</f>
        <v>#DIV/0!</v>
      </c>
      <c r="Q19" s="23" t="e">
        <f>+$I19/P19</f>
        <v>#DIV/0!</v>
      </c>
      <c r="U19" s="23" t="e">
        <f t="shared" si="2"/>
        <v>#DIV/0!</v>
      </c>
      <c r="V19" s="23" t="e">
        <f t="shared" si="3"/>
        <v>#DIV/0!</v>
      </c>
      <c r="W19" s="23" t="e">
        <f t="shared" si="4"/>
        <v>#DIV/0!</v>
      </c>
      <c r="AA19" s="24" t="s">
        <v>311</v>
      </c>
    </row>
    <row r="20" spans="1:27" x14ac:dyDescent="0.2">
      <c r="A20" s="29" t="s">
        <v>395</v>
      </c>
      <c r="B20" s="9" t="s">
        <v>48</v>
      </c>
      <c r="C20" s="9" t="s">
        <v>49</v>
      </c>
      <c r="D20" t="s">
        <v>211</v>
      </c>
      <c r="E20" t="s">
        <v>225</v>
      </c>
      <c r="F20" s="18">
        <v>973</v>
      </c>
      <c r="G20" s="19">
        <f t="shared" si="0"/>
        <v>425965.77799999999</v>
      </c>
      <c r="H20" s="19">
        <f>+[14]Main!$M$11-[14]Main!$M$12</f>
        <v>-5999.0650000000005</v>
      </c>
      <c r="I20" s="19">
        <f t="shared" si="1"/>
        <v>431964.84299999999</v>
      </c>
      <c r="J20" s="19">
        <f>+[14]Main!$M$9</f>
        <v>437.786</v>
      </c>
      <c r="K20" s="21">
        <v>45763</v>
      </c>
      <c r="L20" s="20" t="s">
        <v>271</v>
      </c>
      <c r="M20" s="22">
        <v>0.16</v>
      </c>
      <c r="N20" s="19">
        <f>+SUM([14]Model!$Q$88:$T$88)</f>
        <v>7445.9400000000005</v>
      </c>
      <c r="O20" s="23">
        <f>+$I20/N20</f>
        <v>58.013473517111336</v>
      </c>
      <c r="P20" s="19">
        <f>+SUM([14]Model!$Q$27:$T$27)</f>
        <v>9291.5519999999997</v>
      </c>
      <c r="Q20" s="23">
        <f>+$I20/P20</f>
        <v>46.490063554506285</v>
      </c>
      <c r="R20" s="19">
        <f>+[14]Model!AK$27</f>
        <v>9257.8098400000017</v>
      </c>
      <c r="S20" s="19">
        <f>+[14]Model!AL$27</f>
        <v>9855.8056324999998</v>
      </c>
      <c r="T20" s="19">
        <f>+[14]Model!AM$27</f>
        <v>11463.501067633753</v>
      </c>
      <c r="U20" s="23">
        <f t="shared" si="2"/>
        <v>46.659506996311336</v>
      </c>
      <c r="V20" s="23">
        <f t="shared" si="3"/>
        <v>43.82846609470208</v>
      </c>
      <c r="W20" s="23">
        <f t="shared" si="4"/>
        <v>37.68175537747512</v>
      </c>
      <c r="X20" s="22">
        <v>0.21</v>
      </c>
      <c r="Y20" s="20">
        <v>1997</v>
      </c>
      <c r="Z20" s="8" t="s">
        <v>289</v>
      </c>
      <c r="AA20" s="24" t="s">
        <v>312</v>
      </c>
    </row>
    <row r="21" spans="1:27" x14ac:dyDescent="0.2">
      <c r="A21" s="28">
        <v>45771</v>
      </c>
      <c r="B21" s="9" t="s">
        <v>50</v>
      </c>
      <c r="C21" s="9" t="s">
        <v>51</v>
      </c>
      <c r="D21" t="s">
        <v>213</v>
      </c>
      <c r="E21" t="s">
        <v>233</v>
      </c>
      <c r="F21" s="18">
        <v>170.63</v>
      </c>
      <c r="G21" s="19">
        <f t="shared" si="0"/>
        <v>400102.06502282002</v>
      </c>
      <c r="H21" s="19">
        <f>+[15]Main!$L$6-[15]Main!$L$7</f>
        <v>-24457</v>
      </c>
      <c r="I21" s="19">
        <f t="shared" si="1"/>
        <v>424559.06502282002</v>
      </c>
      <c r="J21" s="19">
        <f>+[15]Main!$L$4</f>
        <v>2344.8518140000001</v>
      </c>
      <c r="K21" s="21">
        <v>45767</v>
      </c>
      <c r="L21" s="20" t="s">
        <v>277</v>
      </c>
      <c r="M21" s="22">
        <v>0.02</v>
      </c>
      <c r="N21" s="19">
        <f>+SUM([15]Model!$L$82:$O$82)</f>
        <v>15518</v>
      </c>
      <c r="O21" s="23">
        <f>+$I21/N21</f>
        <v>27.359135521511796</v>
      </c>
      <c r="P21" s="19">
        <f>+SUM([15]Model!$L$23:$O$23)</f>
        <v>15542</v>
      </c>
      <c r="Q21" s="23">
        <f>+$I21/P21</f>
        <v>27.316887467688844</v>
      </c>
      <c r="R21" s="19">
        <f>+[15]Model!AC$23</f>
        <v>15647</v>
      </c>
      <c r="S21" s="19">
        <f>+[15]Model!AD$23</f>
        <v>15776.048000000001</v>
      </c>
      <c r="T21" s="19">
        <f>+[15]Model!AE$23</f>
        <v>16619.142832000001</v>
      </c>
      <c r="U21" s="23">
        <f t="shared" si="2"/>
        <v>27.133576086330926</v>
      </c>
      <c r="V21" s="23">
        <f t="shared" si="3"/>
        <v>26.911623558879892</v>
      </c>
      <c r="W21" s="23">
        <f t="shared" si="4"/>
        <v>25.546387639519867</v>
      </c>
      <c r="X21" s="22">
        <v>0.31</v>
      </c>
      <c r="Y21" s="20">
        <v>1837</v>
      </c>
      <c r="Z21" s="8" t="s">
        <v>399</v>
      </c>
      <c r="AA21" s="24" t="s">
        <v>313</v>
      </c>
    </row>
    <row r="22" spans="1:27" x14ac:dyDescent="0.2">
      <c r="A22" s="28">
        <v>45778</v>
      </c>
      <c r="B22" t="s">
        <v>56</v>
      </c>
      <c r="C22" t="s">
        <v>57</v>
      </c>
      <c r="D22" t="s">
        <v>216</v>
      </c>
      <c r="E22" t="s">
        <v>242</v>
      </c>
      <c r="G22" s="19">
        <f t="shared" si="0"/>
        <v>0</v>
      </c>
      <c r="I22" s="19">
        <f t="shared" si="1"/>
        <v>0</v>
      </c>
      <c r="O22" s="23" t="e">
        <f>+$I22/N22</f>
        <v>#DIV/0!</v>
      </c>
      <c r="Q22" s="23" t="e">
        <f>+$I22/P22</f>
        <v>#DIV/0!</v>
      </c>
      <c r="U22" s="23" t="e">
        <f t="shared" si="2"/>
        <v>#DIV/0!</v>
      </c>
      <c r="V22" s="23" t="e">
        <f t="shared" si="3"/>
        <v>#DIV/0!</v>
      </c>
      <c r="W22" s="23" t="e">
        <f t="shared" si="4"/>
        <v>#DIV/0!</v>
      </c>
      <c r="AA22" s="24" t="s">
        <v>314</v>
      </c>
    </row>
    <row r="23" spans="1:27" x14ac:dyDescent="0.2">
      <c r="A23" s="28">
        <v>45818</v>
      </c>
      <c r="B23" s="9" t="s">
        <v>58</v>
      </c>
      <c r="C23" s="9" t="s">
        <v>59</v>
      </c>
      <c r="D23" t="s">
        <v>245</v>
      </c>
      <c r="E23" t="s">
        <v>223</v>
      </c>
      <c r="F23" s="18">
        <v>127</v>
      </c>
      <c r="G23" s="19">
        <f t="shared" si="0"/>
        <v>356137.71799999999</v>
      </c>
      <c r="H23" s="19">
        <f>+[20]Main!$L$6-[20]Main!$L$7</f>
        <v>-78453</v>
      </c>
      <c r="I23" s="19">
        <f t="shared" si="1"/>
        <v>434590.71799999999</v>
      </c>
      <c r="J23" s="19">
        <f>+[20]Main!$L$4</f>
        <v>2804.2339999999999</v>
      </c>
      <c r="K23" s="21">
        <v>45768</v>
      </c>
      <c r="L23" s="20" t="s">
        <v>405</v>
      </c>
      <c r="M23" s="22">
        <v>0.06</v>
      </c>
      <c r="N23" s="19">
        <f>+SUM([20]Model!$M$55:$P$55)</f>
        <v>5812</v>
      </c>
      <c r="O23" s="23">
        <f>+$I23/N23</f>
        <v>74.774727804542323</v>
      </c>
      <c r="P23" s="19">
        <f>+SUM([20]Model!$M$19:$P$19)</f>
        <v>16139</v>
      </c>
      <c r="Q23" s="23">
        <f>+$I23/P23</f>
        <v>26.9279830224921</v>
      </c>
      <c r="R23" s="19">
        <f>+[20]Model!$AC$19</f>
        <v>14293</v>
      </c>
      <c r="U23" s="23">
        <f t="shared" si="2"/>
        <v>30.405843279927236</v>
      </c>
      <c r="V23" s="23" t="e">
        <f t="shared" si="3"/>
        <v>#DIV/0!</v>
      </c>
      <c r="W23" s="23" t="e">
        <f t="shared" si="4"/>
        <v>#DIV/0!</v>
      </c>
      <c r="X23" s="22">
        <v>0.23</v>
      </c>
      <c r="Y23" s="20">
        <v>1977</v>
      </c>
      <c r="Z23" s="8" t="s">
        <v>285</v>
      </c>
      <c r="AA23" s="24" t="s">
        <v>315</v>
      </c>
    </row>
    <row r="24" spans="1:27" x14ac:dyDescent="0.2">
      <c r="B24" s="9" t="s">
        <v>60</v>
      </c>
      <c r="C24" t="s">
        <v>61</v>
      </c>
      <c r="D24" t="s">
        <v>214</v>
      </c>
      <c r="E24" t="s">
        <v>236</v>
      </c>
      <c r="G24" s="19">
        <f t="shared" si="0"/>
        <v>0</v>
      </c>
      <c r="I24" s="19">
        <f t="shared" si="1"/>
        <v>0</v>
      </c>
      <c r="O24" s="23" t="e">
        <f>+$I24/N24</f>
        <v>#DIV/0!</v>
      </c>
      <c r="Q24" s="23" t="e">
        <f>+$I24/P24</f>
        <v>#DIV/0!</v>
      </c>
      <c r="U24" s="23" t="e">
        <f t="shared" si="2"/>
        <v>#DIV/0!</v>
      </c>
      <c r="V24" s="23" t="e">
        <f t="shared" si="3"/>
        <v>#DIV/0!</v>
      </c>
      <c r="W24" s="23" t="e">
        <f t="shared" si="4"/>
        <v>#DIV/0!</v>
      </c>
      <c r="AA24" s="24" t="s">
        <v>316</v>
      </c>
    </row>
    <row r="25" spans="1:27" x14ac:dyDescent="0.2">
      <c r="A25" s="28">
        <v>45797</v>
      </c>
      <c r="B25" s="9" t="s">
        <v>62</v>
      </c>
      <c r="C25" t="s">
        <v>63</v>
      </c>
      <c r="D25" t="s">
        <v>212</v>
      </c>
      <c r="E25" t="s">
        <v>231</v>
      </c>
      <c r="G25" s="19">
        <f t="shared" si="0"/>
        <v>0</v>
      </c>
      <c r="I25" s="19">
        <f t="shared" si="1"/>
        <v>0</v>
      </c>
      <c r="O25" s="23" t="e">
        <f>+$I25/N25</f>
        <v>#DIV/0!</v>
      </c>
      <c r="Q25" s="23" t="e">
        <f>+$I25/P25</f>
        <v>#DIV/0!</v>
      </c>
      <c r="U25" s="23" t="e">
        <f t="shared" si="2"/>
        <v>#DIV/0!</v>
      </c>
      <c r="V25" s="23" t="e">
        <f t="shared" si="3"/>
        <v>#DIV/0!</v>
      </c>
      <c r="W25" s="23" t="e">
        <f t="shared" si="4"/>
        <v>#DIV/0!</v>
      </c>
      <c r="AA25" s="24" t="s">
        <v>317</v>
      </c>
    </row>
    <row r="26" spans="1:27" x14ac:dyDescent="0.2">
      <c r="B26" t="s">
        <v>64</v>
      </c>
      <c r="C26" t="s">
        <v>65</v>
      </c>
      <c r="D26" t="s">
        <v>245</v>
      </c>
      <c r="E26" t="s">
        <v>223</v>
      </c>
      <c r="G26" s="19">
        <f t="shared" si="0"/>
        <v>0</v>
      </c>
      <c r="I26" s="19">
        <f t="shared" si="1"/>
        <v>0</v>
      </c>
      <c r="O26" s="23" t="e">
        <f>+$I26/N26</f>
        <v>#DIV/0!</v>
      </c>
      <c r="Q26" s="23" t="e">
        <f>+$I26/P26</f>
        <v>#DIV/0!</v>
      </c>
      <c r="U26" s="23" t="e">
        <f t="shared" si="2"/>
        <v>#DIV/0!</v>
      </c>
      <c r="V26" s="23" t="e">
        <f t="shared" si="3"/>
        <v>#DIV/0!</v>
      </c>
      <c r="W26" s="23" t="e">
        <f t="shared" si="4"/>
        <v>#DIV/0!</v>
      </c>
      <c r="AA26" s="24" t="s">
        <v>318</v>
      </c>
    </row>
    <row r="27" spans="1:27" x14ac:dyDescent="0.2">
      <c r="A27" s="28">
        <v>45772</v>
      </c>
      <c r="B27" s="9" t="s">
        <v>66</v>
      </c>
      <c r="C27" t="s">
        <v>67</v>
      </c>
      <c r="D27" t="s">
        <v>214</v>
      </c>
      <c r="E27" t="s">
        <v>236</v>
      </c>
      <c r="G27" s="19">
        <f t="shared" si="0"/>
        <v>0</v>
      </c>
      <c r="I27" s="19">
        <f t="shared" si="1"/>
        <v>0</v>
      </c>
      <c r="O27" s="23" t="e">
        <f>+$I27/N27</f>
        <v>#DIV/0!</v>
      </c>
      <c r="Q27" s="23" t="e">
        <f>+$I27/P27</f>
        <v>#DIV/0!</v>
      </c>
      <c r="U27" s="23" t="e">
        <f t="shared" si="2"/>
        <v>#DIV/0!</v>
      </c>
      <c r="V27" s="23" t="e">
        <f t="shared" si="3"/>
        <v>#DIV/0!</v>
      </c>
      <c r="W27" s="23" t="e">
        <f t="shared" si="4"/>
        <v>#DIV/0!</v>
      </c>
      <c r="AA27" s="24" t="s">
        <v>319</v>
      </c>
    </row>
    <row r="28" spans="1:27" x14ac:dyDescent="0.2">
      <c r="A28" s="28">
        <v>45776</v>
      </c>
      <c r="B28" s="9" t="s">
        <v>68</v>
      </c>
      <c r="C28" s="9" t="s">
        <v>69</v>
      </c>
      <c r="D28" t="s">
        <v>213</v>
      </c>
      <c r="E28" t="s">
        <v>234</v>
      </c>
      <c r="F28" s="18">
        <v>72</v>
      </c>
      <c r="G28" s="19">
        <f t="shared" si="0"/>
        <v>309672.02844000002</v>
      </c>
      <c r="H28" s="19">
        <f>+[16]Main!$L$6-[16]Main!$L$7</f>
        <v>-11864</v>
      </c>
      <c r="I28" s="19">
        <f t="shared" si="1"/>
        <v>321536.02844000002</v>
      </c>
      <c r="J28" s="19">
        <f>+[16]Main!$L$4</f>
        <v>4301.000395</v>
      </c>
      <c r="K28" s="21">
        <v>45763</v>
      </c>
      <c r="L28" s="20" t="s">
        <v>279</v>
      </c>
      <c r="M28" s="22">
        <v>0.03</v>
      </c>
      <c r="O28" s="23" t="e">
        <f>+$I28/N28</f>
        <v>#DIV/0!</v>
      </c>
      <c r="P28" s="19">
        <f>+SUM([16]Model!$N$12:$Q$12)</f>
        <v>11050</v>
      </c>
      <c r="Q28" s="23">
        <f>+$I28/P28</f>
        <v>29.098283116742085</v>
      </c>
      <c r="R28" s="19">
        <f>+[16]Model!$AC$12</f>
        <v>11050</v>
      </c>
      <c r="U28" s="23">
        <f t="shared" si="2"/>
        <v>29.098283116742085</v>
      </c>
      <c r="V28" s="23" t="e">
        <f t="shared" si="3"/>
        <v>#DIV/0!</v>
      </c>
      <c r="W28" s="23" t="e">
        <f t="shared" si="4"/>
        <v>#DIV/0!</v>
      </c>
      <c r="Y28" s="20">
        <v>1886</v>
      </c>
      <c r="Z28" s="8" t="s">
        <v>291</v>
      </c>
      <c r="AA28" s="24" t="s">
        <v>320</v>
      </c>
    </row>
    <row r="29" spans="1:27" x14ac:dyDescent="0.2">
      <c r="B29" s="9" t="s">
        <v>70</v>
      </c>
      <c r="C29" t="s">
        <v>71</v>
      </c>
      <c r="D29" t="s">
        <v>211</v>
      </c>
      <c r="E29" t="s">
        <v>226</v>
      </c>
      <c r="G29" s="19">
        <f t="shared" si="0"/>
        <v>0</v>
      </c>
      <c r="I29" s="19">
        <f t="shared" si="1"/>
        <v>0</v>
      </c>
      <c r="O29" s="23" t="e">
        <f>+$I29/N29</f>
        <v>#DIV/0!</v>
      </c>
      <c r="Q29" s="23" t="e">
        <f>+$I29/P29</f>
        <v>#DIV/0!</v>
      </c>
      <c r="U29" s="23" t="e">
        <f t="shared" si="2"/>
        <v>#DIV/0!</v>
      </c>
      <c r="V29" s="23" t="e">
        <f t="shared" si="3"/>
        <v>#DIV/0!</v>
      </c>
      <c r="W29" s="23" t="e">
        <f t="shared" si="4"/>
        <v>#DIV/0!</v>
      </c>
      <c r="AA29" s="24" t="s">
        <v>321</v>
      </c>
    </row>
    <row r="30" spans="1:27" x14ac:dyDescent="0.2">
      <c r="A30" s="28">
        <v>45784</v>
      </c>
      <c r="B30" t="s">
        <v>72</v>
      </c>
      <c r="C30" t="s">
        <v>73</v>
      </c>
      <c r="D30" t="s">
        <v>214</v>
      </c>
      <c r="E30" t="s">
        <v>236</v>
      </c>
      <c r="G30" s="19">
        <f t="shared" si="0"/>
        <v>0</v>
      </c>
      <c r="I30" s="19">
        <f t="shared" si="1"/>
        <v>0</v>
      </c>
      <c r="O30" s="23" t="e">
        <f>+$I30/N30</f>
        <v>#DIV/0!</v>
      </c>
      <c r="Q30" s="23" t="e">
        <f>+$I30/P30</f>
        <v>#DIV/0!</v>
      </c>
      <c r="U30" s="23" t="e">
        <f t="shared" si="2"/>
        <v>#DIV/0!</v>
      </c>
      <c r="V30" s="23" t="e">
        <f t="shared" si="3"/>
        <v>#DIV/0!</v>
      </c>
      <c r="W30" s="23" t="e">
        <f t="shared" si="4"/>
        <v>#DIV/0!</v>
      </c>
      <c r="AA30" s="24" t="s">
        <v>322</v>
      </c>
    </row>
    <row r="31" spans="1:27" x14ac:dyDescent="0.2">
      <c r="B31" s="9" t="s">
        <v>74</v>
      </c>
      <c r="C31" t="s">
        <v>75</v>
      </c>
      <c r="D31" t="s">
        <v>215</v>
      </c>
      <c r="E31" t="s">
        <v>240</v>
      </c>
      <c r="G31" s="19">
        <f t="shared" si="0"/>
        <v>0</v>
      </c>
      <c r="I31" s="19">
        <f t="shared" si="1"/>
        <v>0</v>
      </c>
      <c r="O31" s="23" t="e">
        <f>+$I31/N31</f>
        <v>#DIV/0!</v>
      </c>
      <c r="Q31" s="23" t="e">
        <f>+$I31/P31</f>
        <v>#DIV/0!</v>
      </c>
      <c r="U31" s="23" t="e">
        <f t="shared" si="2"/>
        <v>#DIV/0!</v>
      </c>
      <c r="V31" s="23" t="e">
        <f t="shared" si="3"/>
        <v>#DIV/0!</v>
      </c>
      <c r="W31" s="23" t="e">
        <f t="shared" si="4"/>
        <v>#DIV/0!</v>
      </c>
      <c r="AA31" s="24" t="s">
        <v>323</v>
      </c>
    </row>
    <row r="32" spans="1:27" x14ac:dyDescent="0.2">
      <c r="B32" t="s">
        <v>76</v>
      </c>
      <c r="C32" t="s">
        <v>77</v>
      </c>
      <c r="D32" t="s">
        <v>212</v>
      </c>
      <c r="E32" t="s">
        <v>229</v>
      </c>
      <c r="G32" s="19">
        <f t="shared" si="0"/>
        <v>0</v>
      </c>
      <c r="I32" s="19">
        <f t="shared" si="1"/>
        <v>0</v>
      </c>
      <c r="O32" s="23" t="e">
        <f>+$I32/N32</f>
        <v>#DIV/0!</v>
      </c>
      <c r="Q32" s="23" t="e">
        <f>+$I32/P32</f>
        <v>#DIV/0!</v>
      </c>
      <c r="U32" s="23" t="e">
        <f t="shared" si="2"/>
        <v>#DIV/0!</v>
      </c>
      <c r="V32" s="23" t="e">
        <f t="shared" si="3"/>
        <v>#DIV/0!</v>
      </c>
      <c r="W32" s="23" t="e">
        <f t="shared" si="4"/>
        <v>#DIV/0!</v>
      </c>
      <c r="AA32" s="24" t="s">
        <v>324</v>
      </c>
    </row>
    <row r="33" spans="1:27" x14ac:dyDescent="0.2">
      <c r="B33" t="s">
        <v>78</v>
      </c>
      <c r="C33" t="s">
        <v>79</v>
      </c>
      <c r="D33" t="s">
        <v>212</v>
      </c>
      <c r="E33" t="s">
        <v>228</v>
      </c>
      <c r="G33" s="19">
        <f t="shared" si="0"/>
        <v>0</v>
      </c>
      <c r="I33" s="19">
        <f t="shared" si="1"/>
        <v>0</v>
      </c>
      <c r="O33" s="23" t="e">
        <f>+$I33/N33</f>
        <v>#DIV/0!</v>
      </c>
      <c r="Q33" s="23" t="e">
        <f>+$I33/P33</f>
        <v>#DIV/0!</v>
      </c>
      <c r="U33" s="23" t="e">
        <f t="shared" si="2"/>
        <v>#DIV/0!</v>
      </c>
      <c r="V33" s="23" t="e">
        <f t="shared" si="3"/>
        <v>#DIV/0!</v>
      </c>
      <c r="W33" s="23" t="e">
        <f t="shared" si="4"/>
        <v>#DIV/0!</v>
      </c>
      <c r="AA33" s="24" t="s">
        <v>325</v>
      </c>
    </row>
    <row r="34" spans="1:27" x14ac:dyDescent="0.2">
      <c r="A34" s="29" t="s">
        <v>395</v>
      </c>
      <c r="B34" t="s">
        <v>80</v>
      </c>
      <c r="C34" s="9" t="s">
        <v>80</v>
      </c>
      <c r="D34" t="s">
        <v>245</v>
      </c>
      <c r="E34" t="s">
        <v>220</v>
      </c>
      <c r="F34" s="18">
        <v>573.1</v>
      </c>
      <c r="G34" s="19">
        <f>+F34*J34</f>
        <v>224941.75</v>
      </c>
      <c r="H34" s="19">
        <f>+[17]Main!$L$5-[17]Main!$L$6</f>
        <v>5422.6</v>
      </c>
      <c r="I34" s="19">
        <f>+G34-H34</f>
        <v>219519.15</v>
      </c>
      <c r="J34" s="19">
        <f>+[17]Main!$L$3</f>
        <v>392.5</v>
      </c>
      <c r="K34" s="21">
        <v>45763</v>
      </c>
      <c r="L34" s="20" t="s">
        <v>271</v>
      </c>
      <c r="M34" s="22">
        <v>0.03</v>
      </c>
      <c r="N34" s="19">
        <f>+SUM([17]Model!$T$129:$W$129)</f>
        <v>9294.6</v>
      </c>
      <c r="O34" s="23">
        <f>+$I34/N34</f>
        <v>23.617923310309209</v>
      </c>
      <c r="P34" s="19">
        <f>+SUM([17]Model!$T$56:$W$56)</f>
        <v>8490.1999999999989</v>
      </c>
      <c r="Q34" s="23">
        <f>+$I34/P34</f>
        <v>25.85559232998045</v>
      </c>
      <c r="R34" s="19">
        <f>+[17]Model!AM$56</f>
        <v>8468.9016000000011</v>
      </c>
      <c r="S34" s="19">
        <f>+[17]Model!AN$56</f>
        <v>9858.582315200003</v>
      </c>
      <c r="T34" s="19">
        <f>+[17]Model!AO$56</f>
        <v>11421.711756726403</v>
      </c>
      <c r="U34" s="23">
        <f t="shared" ref="U34" si="5">+$I34/R34</f>
        <v>25.920616435075829</v>
      </c>
      <c r="V34" s="23">
        <f>+$I34/S34</f>
        <v>22.266807029804323</v>
      </c>
      <c r="W34" s="23">
        <f>+$I34/T34</f>
        <v>19.219461554939183</v>
      </c>
      <c r="X34" s="22">
        <v>0.27</v>
      </c>
      <c r="Y34" s="20">
        <v>1984</v>
      </c>
      <c r="Z34" s="8" t="s">
        <v>273</v>
      </c>
      <c r="AA34" s="24" t="s">
        <v>326</v>
      </c>
    </row>
    <row r="35" spans="1:27" x14ac:dyDescent="0.2">
      <c r="B35" s="9" t="s">
        <v>81</v>
      </c>
      <c r="C35" t="s">
        <v>82</v>
      </c>
      <c r="D35" t="s">
        <v>213</v>
      </c>
      <c r="E35" t="s">
        <v>235</v>
      </c>
      <c r="G35" s="19">
        <f t="shared" ref="G35:G98" si="6">+F35*J35</f>
        <v>0</v>
      </c>
      <c r="I35" s="19">
        <f t="shared" ref="I35:I98" si="7">+G35-H35</f>
        <v>0</v>
      </c>
      <c r="O35" s="23" t="e">
        <f>+$I35/N35</f>
        <v>#DIV/0!</v>
      </c>
      <c r="Q35" s="23" t="e">
        <f>+$I35/P35</f>
        <v>#DIV/0!</v>
      </c>
      <c r="U35" s="23" t="e">
        <f t="shared" ref="U35:U98" si="8">+$I35/R35</f>
        <v>#DIV/0!</v>
      </c>
      <c r="V35" s="23" t="e">
        <f t="shared" ref="V35:V98" si="9">+$I35/S35</f>
        <v>#DIV/0!</v>
      </c>
      <c r="W35" s="23" t="e">
        <f t="shared" ref="W35:W98" si="10">+$I35/T35</f>
        <v>#DIV/0!</v>
      </c>
      <c r="AA35" s="24" t="s">
        <v>327</v>
      </c>
    </row>
    <row r="36" spans="1:27" x14ac:dyDescent="0.2">
      <c r="A36" s="28">
        <v>45812</v>
      </c>
      <c r="B36" s="9" t="s">
        <v>83</v>
      </c>
      <c r="C36" s="9" t="s">
        <v>84</v>
      </c>
      <c r="D36" t="s">
        <v>245</v>
      </c>
      <c r="E36" t="s">
        <v>223</v>
      </c>
      <c r="G36" s="19">
        <f t="shared" si="6"/>
        <v>0</v>
      </c>
      <c r="I36" s="19">
        <f t="shared" si="7"/>
        <v>0</v>
      </c>
      <c r="O36" s="23" t="e">
        <f>+$I36/N36</f>
        <v>#DIV/0!</v>
      </c>
      <c r="Q36" s="23" t="e">
        <f>+$I36/P36</f>
        <v>#DIV/0!</v>
      </c>
      <c r="U36" s="23" t="e">
        <f t="shared" si="8"/>
        <v>#DIV/0!</v>
      </c>
      <c r="V36" s="23" t="e">
        <f t="shared" si="9"/>
        <v>#DIV/0!</v>
      </c>
      <c r="W36" s="23" t="e">
        <f t="shared" si="10"/>
        <v>#DIV/0!</v>
      </c>
      <c r="AA36" s="24" t="s">
        <v>328</v>
      </c>
    </row>
    <row r="37" spans="1:27" x14ac:dyDescent="0.2">
      <c r="B37" s="9" t="s">
        <v>85</v>
      </c>
      <c r="C37" t="s">
        <v>86</v>
      </c>
      <c r="D37" t="s">
        <v>216</v>
      </c>
      <c r="E37" t="s">
        <v>242</v>
      </c>
      <c r="G37" s="19">
        <f t="shared" si="6"/>
        <v>0</v>
      </c>
      <c r="I37" s="19">
        <f t="shared" si="7"/>
        <v>0</v>
      </c>
      <c r="O37" s="23" t="e">
        <f>+$I37/N37</f>
        <v>#DIV/0!</v>
      </c>
      <c r="Q37" s="23" t="e">
        <f>+$I37/P37</f>
        <v>#DIV/0!</v>
      </c>
      <c r="U37" s="23" t="e">
        <f t="shared" si="8"/>
        <v>#DIV/0!</v>
      </c>
      <c r="V37" s="23" t="e">
        <f t="shared" si="9"/>
        <v>#DIV/0!</v>
      </c>
      <c r="W37" s="23" t="e">
        <f t="shared" si="10"/>
        <v>#DIV/0!</v>
      </c>
      <c r="AA37" s="24" t="s">
        <v>329</v>
      </c>
    </row>
    <row r="38" spans="1:27" x14ac:dyDescent="0.2">
      <c r="B38" s="9" t="s">
        <v>87</v>
      </c>
      <c r="C38" t="s">
        <v>88</v>
      </c>
      <c r="D38" t="s">
        <v>245</v>
      </c>
      <c r="E38" t="s">
        <v>223</v>
      </c>
      <c r="G38" s="19">
        <f t="shared" si="6"/>
        <v>0</v>
      </c>
      <c r="I38" s="19">
        <f t="shared" si="7"/>
        <v>0</v>
      </c>
      <c r="O38" s="23" t="e">
        <f>+$I38/N38</f>
        <v>#DIV/0!</v>
      </c>
      <c r="Q38" s="23" t="e">
        <f>+$I38/P38</f>
        <v>#DIV/0!</v>
      </c>
      <c r="U38" s="23" t="e">
        <f t="shared" si="8"/>
        <v>#DIV/0!</v>
      </c>
      <c r="V38" s="23" t="e">
        <f t="shared" si="9"/>
        <v>#DIV/0!</v>
      </c>
      <c r="W38" s="23" t="e">
        <f t="shared" si="10"/>
        <v>#DIV/0!</v>
      </c>
      <c r="AA38" s="24" t="s">
        <v>330</v>
      </c>
    </row>
    <row r="39" spans="1:27" x14ac:dyDescent="0.2">
      <c r="B39" s="9" t="s">
        <v>89</v>
      </c>
      <c r="C39" t="s">
        <v>90</v>
      </c>
      <c r="D39" t="s">
        <v>245</v>
      </c>
      <c r="E39" t="s">
        <v>221</v>
      </c>
      <c r="G39" s="19">
        <f t="shared" si="6"/>
        <v>0</v>
      </c>
      <c r="I39" s="19">
        <f t="shared" si="7"/>
        <v>0</v>
      </c>
      <c r="O39" s="23" t="e">
        <f>+$I39/N39</f>
        <v>#DIV/0!</v>
      </c>
      <c r="Q39" s="23" t="e">
        <f>+$I39/P39</f>
        <v>#DIV/0!</v>
      </c>
      <c r="U39" s="23" t="e">
        <f t="shared" si="8"/>
        <v>#DIV/0!</v>
      </c>
      <c r="V39" s="23" t="e">
        <f t="shared" si="9"/>
        <v>#DIV/0!</v>
      </c>
      <c r="W39" s="23" t="e">
        <f t="shared" si="10"/>
        <v>#DIV/0!</v>
      </c>
      <c r="AA39" s="24" t="s">
        <v>331</v>
      </c>
    </row>
    <row r="40" spans="1:27" x14ac:dyDescent="0.2">
      <c r="A40" s="28">
        <v>45778</v>
      </c>
      <c r="B40" s="9" t="s">
        <v>91</v>
      </c>
      <c r="C40" s="9" t="s">
        <v>92</v>
      </c>
      <c r="D40" t="s">
        <v>212</v>
      </c>
      <c r="E40" t="s">
        <v>230</v>
      </c>
      <c r="G40" s="19">
        <f t="shared" si="6"/>
        <v>0</v>
      </c>
      <c r="I40" s="19">
        <f t="shared" si="7"/>
        <v>0</v>
      </c>
      <c r="O40" s="23" t="e">
        <f>+$I40/N40</f>
        <v>#DIV/0!</v>
      </c>
      <c r="Q40" s="23" t="e">
        <f>+$I40/P40</f>
        <v>#DIV/0!</v>
      </c>
      <c r="U40" s="23" t="e">
        <f t="shared" si="8"/>
        <v>#DIV/0!</v>
      </c>
      <c r="V40" s="23" t="e">
        <f t="shared" si="9"/>
        <v>#DIV/0!</v>
      </c>
      <c r="W40" s="23" t="e">
        <f t="shared" si="10"/>
        <v>#DIV/0!</v>
      </c>
      <c r="AA40" s="24" t="s">
        <v>332</v>
      </c>
    </row>
    <row r="41" spans="1:27" x14ac:dyDescent="0.2">
      <c r="A41" s="28">
        <v>45770</v>
      </c>
      <c r="B41" s="9" t="s">
        <v>93</v>
      </c>
      <c r="C41" s="9" t="s">
        <v>94</v>
      </c>
      <c r="D41" t="s">
        <v>245</v>
      </c>
      <c r="E41" t="s">
        <v>222</v>
      </c>
      <c r="G41" s="19">
        <f t="shared" si="6"/>
        <v>0</v>
      </c>
      <c r="I41" s="19">
        <f t="shared" si="7"/>
        <v>0</v>
      </c>
      <c r="O41" s="23" t="e">
        <f>+$I41/N41</f>
        <v>#DIV/0!</v>
      </c>
      <c r="Q41" s="23" t="e">
        <f>+$I41/P41</f>
        <v>#DIV/0!</v>
      </c>
      <c r="U41" s="23" t="e">
        <f t="shared" si="8"/>
        <v>#DIV/0!</v>
      </c>
      <c r="V41" s="23" t="e">
        <f t="shared" si="9"/>
        <v>#DIV/0!</v>
      </c>
      <c r="W41" s="23" t="e">
        <f t="shared" si="10"/>
        <v>#DIV/0!</v>
      </c>
      <c r="AA41" s="24" t="s">
        <v>333</v>
      </c>
    </row>
    <row r="42" spans="1:27" x14ac:dyDescent="0.2">
      <c r="B42" s="9" t="s">
        <v>95</v>
      </c>
      <c r="C42" t="s">
        <v>96</v>
      </c>
      <c r="D42" t="s">
        <v>217</v>
      </c>
      <c r="E42" t="s">
        <v>244</v>
      </c>
      <c r="G42" s="19">
        <f t="shared" si="6"/>
        <v>0</v>
      </c>
      <c r="I42" s="19">
        <f t="shared" si="7"/>
        <v>0</v>
      </c>
      <c r="O42" s="23" t="e">
        <f>+$I42/N42</f>
        <v>#DIV/0!</v>
      </c>
      <c r="Q42" s="23" t="e">
        <f>+$I42/P42</f>
        <v>#DIV/0!</v>
      </c>
      <c r="U42" s="23" t="e">
        <f t="shared" si="8"/>
        <v>#DIV/0!</v>
      </c>
      <c r="V42" s="23" t="e">
        <f t="shared" si="9"/>
        <v>#DIV/0!</v>
      </c>
      <c r="W42" s="23" t="e">
        <f t="shared" si="10"/>
        <v>#DIV/0!</v>
      </c>
      <c r="AA42" s="24" t="s">
        <v>334</v>
      </c>
    </row>
    <row r="43" spans="1:27" x14ac:dyDescent="0.2">
      <c r="B43" s="9" t="s">
        <v>97</v>
      </c>
      <c r="C43" t="s">
        <v>98</v>
      </c>
      <c r="D43" t="s">
        <v>214</v>
      </c>
      <c r="E43" t="s">
        <v>238</v>
      </c>
      <c r="G43" s="19">
        <f t="shared" si="6"/>
        <v>0</v>
      </c>
      <c r="I43" s="19">
        <f t="shared" si="7"/>
        <v>0</v>
      </c>
      <c r="O43" s="23" t="e">
        <f>+$I43/N43</f>
        <v>#DIV/0!</v>
      </c>
      <c r="Q43" s="23" t="e">
        <f>+$I43/P43</f>
        <v>#DIV/0!</v>
      </c>
      <c r="U43" s="23" t="e">
        <f t="shared" si="8"/>
        <v>#DIV/0!</v>
      </c>
      <c r="V43" s="23" t="e">
        <f t="shared" si="9"/>
        <v>#DIV/0!</v>
      </c>
      <c r="W43" s="23" t="e">
        <f t="shared" si="10"/>
        <v>#DIV/0!</v>
      </c>
      <c r="AA43" s="24" t="s">
        <v>335</v>
      </c>
    </row>
    <row r="44" spans="1:27" x14ac:dyDescent="0.2">
      <c r="B44" t="s">
        <v>99</v>
      </c>
      <c r="C44" t="s">
        <v>100</v>
      </c>
      <c r="D44" t="s">
        <v>214</v>
      </c>
      <c r="E44" t="s">
        <v>236</v>
      </c>
      <c r="G44" s="19">
        <f t="shared" si="6"/>
        <v>0</v>
      </c>
      <c r="I44" s="19">
        <f t="shared" si="7"/>
        <v>0</v>
      </c>
      <c r="O44" s="23" t="e">
        <f>+$I44/N44</f>
        <v>#DIV/0!</v>
      </c>
      <c r="Q44" s="23" t="e">
        <f>+$I44/P44</f>
        <v>#DIV/0!</v>
      </c>
      <c r="U44" s="23" t="e">
        <f t="shared" si="8"/>
        <v>#DIV/0!</v>
      </c>
      <c r="V44" s="23" t="e">
        <f t="shared" si="9"/>
        <v>#DIV/0!</v>
      </c>
      <c r="W44" s="23" t="e">
        <f t="shared" si="10"/>
        <v>#DIV/0!</v>
      </c>
      <c r="AA44" s="24" t="s">
        <v>336</v>
      </c>
    </row>
    <row r="45" spans="1:27" x14ac:dyDescent="0.2">
      <c r="B45" s="9" t="s">
        <v>101</v>
      </c>
      <c r="C45" t="s">
        <v>102</v>
      </c>
      <c r="D45" t="s">
        <v>215</v>
      </c>
      <c r="E45" t="s">
        <v>240</v>
      </c>
      <c r="G45" s="19">
        <f t="shared" si="6"/>
        <v>0</v>
      </c>
      <c r="I45" s="19">
        <f t="shared" si="7"/>
        <v>0</v>
      </c>
      <c r="O45" s="23" t="e">
        <f>+$I45/N45</f>
        <v>#DIV/0!</v>
      </c>
      <c r="Q45" s="23" t="e">
        <f>+$I45/P45</f>
        <v>#DIV/0!</v>
      </c>
      <c r="U45" s="23" t="e">
        <f t="shared" si="8"/>
        <v>#DIV/0!</v>
      </c>
      <c r="V45" s="23" t="e">
        <f t="shared" si="9"/>
        <v>#DIV/0!</v>
      </c>
      <c r="W45" s="23" t="e">
        <f t="shared" si="10"/>
        <v>#DIV/0!</v>
      </c>
      <c r="AA45" s="24" t="s">
        <v>337</v>
      </c>
    </row>
    <row r="46" spans="1:27" x14ac:dyDescent="0.2">
      <c r="B46" s="9" t="s">
        <v>103</v>
      </c>
      <c r="C46" t="s">
        <v>104</v>
      </c>
      <c r="D46" t="s">
        <v>217</v>
      </c>
      <c r="E46" t="s">
        <v>243</v>
      </c>
      <c r="G46" s="19">
        <f t="shared" si="6"/>
        <v>0</v>
      </c>
      <c r="I46" s="19">
        <f t="shared" si="7"/>
        <v>0</v>
      </c>
      <c r="O46" s="23" t="e">
        <f>+$I46/N46</f>
        <v>#DIV/0!</v>
      </c>
      <c r="Q46" s="23" t="e">
        <f>+$I46/P46</f>
        <v>#DIV/0!</v>
      </c>
      <c r="U46" s="23" t="e">
        <f t="shared" si="8"/>
        <v>#DIV/0!</v>
      </c>
      <c r="V46" s="23" t="e">
        <f t="shared" si="9"/>
        <v>#DIV/0!</v>
      </c>
      <c r="W46" s="23" t="e">
        <f t="shared" si="10"/>
        <v>#DIV/0!</v>
      </c>
      <c r="AA46" s="24" t="s">
        <v>338</v>
      </c>
    </row>
    <row r="47" spans="1:27" x14ac:dyDescent="0.2">
      <c r="B47" s="9" t="s">
        <v>105</v>
      </c>
      <c r="C47" t="s">
        <v>106</v>
      </c>
      <c r="D47" t="s">
        <v>214</v>
      </c>
      <c r="E47" t="s">
        <v>236</v>
      </c>
      <c r="G47" s="19">
        <f t="shared" si="6"/>
        <v>0</v>
      </c>
      <c r="I47" s="19">
        <f t="shared" si="7"/>
        <v>0</v>
      </c>
      <c r="O47" s="23" t="e">
        <f>+$I47/N47</f>
        <v>#DIV/0!</v>
      </c>
      <c r="Q47" s="23" t="e">
        <f>+$I47/P47</f>
        <v>#DIV/0!</v>
      </c>
      <c r="U47" s="23" t="e">
        <f t="shared" si="8"/>
        <v>#DIV/0!</v>
      </c>
      <c r="V47" s="23" t="e">
        <f t="shared" si="9"/>
        <v>#DIV/0!</v>
      </c>
      <c r="W47" s="23" t="e">
        <f t="shared" si="10"/>
        <v>#DIV/0!</v>
      </c>
      <c r="AA47" s="24" t="s">
        <v>339</v>
      </c>
    </row>
    <row r="48" spans="1:27" x14ac:dyDescent="0.2">
      <c r="B48" s="9" t="s">
        <v>107</v>
      </c>
      <c r="C48" t="s">
        <v>108</v>
      </c>
      <c r="D48" t="s">
        <v>211</v>
      </c>
      <c r="E48" t="s">
        <v>227</v>
      </c>
      <c r="G48" s="19">
        <f t="shared" si="6"/>
        <v>0</v>
      </c>
      <c r="I48" s="19">
        <f t="shared" si="7"/>
        <v>0</v>
      </c>
      <c r="O48" s="23" t="e">
        <f>+$I48/N48</f>
        <v>#DIV/0!</v>
      </c>
      <c r="Q48" s="23" t="e">
        <f>+$I48/P48</f>
        <v>#DIV/0!</v>
      </c>
      <c r="U48" s="23" t="e">
        <f t="shared" si="8"/>
        <v>#DIV/0!</v>
      </c>
      <c r="V48" s="23" t="e">
        <f t="shared" si="9"/>
        <v>#DIV/0!</v>
      </c>
      <c r="W48" s="23" t="e">
        <f t="shared" si="10"/>
        <v>#DIV/0!</v>
      </c>
      <c r="AA48" s="24" t="s">
        <v>340</v>
      </c>
    </row>
    <row r="49" spans="1:27" x14ac:dyDescent="0.2">
      <c r="B49" s="9" t="s">
        <v>109</v>
      </c>
      <c r="C49" t="s">
        <v>110</v>
      </c>
      <c r="D49" t="s">
        <v>245</v>
      </c>
      <c r="E49" t="s">
        <v>222</v>
      </c>
      <c r="G49" s="19">
        <f t="shared" si="6"/>
        <v>0</v>
      </c>
      <c r="I49" s="19">
        <f t="shared" si="7"/>
        <v>0</v>
      </c>
      <c r="O49" s="23" t="e">
        <f>+$I49/N49</f>
        <v>#DIV/0!</v>
      </c>
      <c r="Q49" s="23" t="e">
        <f>+$I49/P49</f>
        <v>#DIV/0!</v>
      </c>
      <c r="U49" s="23" t="e">
        <f t="shared" si="8"/>
        <v>#DIV/0!</v>
      </c>
      <c r="V49" s="23" t="e">
        <f t="shared" si="9"/>
        <v>#DIV/0!</v>
      </c>
      <c r="W49" s="23" t="e">
        <f t="shared" si="10"/>
        <v>#DIV/0!</v>
      </c>
      <c r="AA49" s="24" t="s">
        <v>341</v>
      </c>
    </row>
    <row r="50" spans="1:27" x14ac:dyDescent="0.2">
      <c r="B50" s="9" t="s">
        <v>111</v>
      </c>
      <c r="C50" t="s">
        <v>112</v>
      </c>
      <c r="D50" t="s">
        <v>213</v>
      </c>
      <c r="E50" t="s">
        <v>234</v>
      </c>
      <c r="G50" s="19">
        <f t="shared" si="6"/>
        <v>0</v>
      </c>
      <c r="I50" s="19">
        <f t="shared" si="7"/>
        <v>0</v>
      </c>
      <c r="O50" s="23" t="e">
        <f>+$I50/N50</f>
        <v>#DIV/0!</v>
      </c>
      <c r="Q50" s="23" t="e">
        <f>+$I50/P50</f>
        <v>#DIV/0!</v>
      </c>
      <c r="U50" s="23" t="e">
        <f t="shared" si="8"/>
        <v>#DIV/0!</v>
      </c>
      <c r="V50" s="23" t="e">
        <f t="shared" si="9"/>
        <v>#DIV/0!</v>
      </c>
      <c r="W50" s="23" t="e">
        <f t="shared" si="10"/>
        <v>#DIV/0!</v>
      </c>
      <c r="AA50" s="24" t="s">
        <v>342</v>
      </c>
    </row>
    <row r="51" spans="1:27" x14ac:dyDescent="0.2">
      <c r="B51" t="s">
        <v>113</v>
      </c>
      <c r="C51" t="s">
        <v>114</v>
      </c>
      <c r="D51" t="s">
        <v>215</v>
      </c>
      <c r="E51" t="s">
        <v>240</v>
      </c>
      <c r="G51" s="19">
        <f t="shared" si="6"/>
        <v>0</v>
      </c>
      <c r="I51" s="19">
        <f t="shared" si="7"/>
        <v>0</v>
      </c>
      <c r="O51" s="23" t="e">
        <f>+$I51/N51</f>
        <v>#DIV/0!</v>
      </c>
      <c r="Q51" s="23" t="e">
        <f>+$I51/P51</f>
        <v>#DIV/0!</v>
      </c>
      <c r="U51" s="23" t="e">
        <f t="shared" si="8"/>
        <v>#DIV/0!</v>
      </c>
      <c r="V51" s="23" t="e">
        <f t="shared" si="9"/>
        <v>#DIV/0!</v>
      </c>
      <c r="W51" s="23" t="e">
        <f t="shared" si="10"/>
        <v>#DIV/0!</v>
      </c>
      <c r="AA51" s="24" t="s">
        <v>343</v>
      </c>
    </row>
    <row r="52" spans="1:27" x14ac:dyDescent="0.2">
      <c r="B52" s="9" t="s">
        <v>115</v>
      </c>
      <c r="C52" t="s">
        <v>116</v>
      </c>
      <c r="D52" t="s">
        <v>211</v>
      </c>
      <c r="E52" t="s">
        <v>227</v>
      </c>
      <c r="G52" s="19">
        <f t="shared" si="6"/>
        <v>0</v>
      </c>
      <c r="I52" s="19">
        <f t="shared" si="7"/>
        <v>0</v>
      </c>
      <c r="O52" s="23" t="e">
        <f>+$I52/N52</f>
        <v>#DIV/0!</v>
      </c>
      <c r="Q52" s="23" t="e">
        <f>+$I52/P52</f>
        <v>#DIV/0!</v>
      </c>
      <c r="U52" s="23" t="e">
        <f t="shared" si="8"/>
        <v>#DIV/0!</v>
      </c>
      <c r="V52" s="23" t="e">
        <f t="shared" si="9"/>
        <v>#DIV/0!</v>
      </c>
      <c r="W52" s="23" t="e">
        <f t="shared" si="10"/>
        <v>#DIV/0!</v>
      </c>
      <c r="AA52" s="24" t="s">
        <v>344</v>
      </c>
    </row>
    <row r="53" spans="1:27" x14ac:dyDescent="0.2">
      <c r="A53" s="29" t="s">
        <v>395</v>
      </c>
      <c r="B53" s="9" t="s">
        <v>117</v>
      </c>
      <c r="C53" s="9" t="s">
        <v>118</v>
      </c>
      <c r="D53" t="s">
        <v>215</v>
      </c>
      <c r="E53" t="s">
        <v>256</v>
      </c>
      <c r="F53" s="18">
        <v>251.31</v>
      </c>
      <c r="G53" s="19">
        <f t="shared" si="6"/>
        <v>176064.9889197</v>
      </c>
      <c r="H53" s="19">
        <f>+[18]Main!$L$6-[18]Main!$L$7</f>
        <v>-1706</v>
      </c>
      <c r="I53" s="19">
        <f t="shared" si="7"/>
        <v>177770.9889197</v>
      </c>
      <c r="J53" s="19">
        <f>+[18]Main!$L$4</f>
        <v>700.58887000000004</v>
      </c>
      <c r="K53" s="21">
        <v>45766</v>
      </c>
      <c r="L53" s="20" t="s">
        <v>271</v>
      </c>
      <c r="M53" s="22">
        <v>0.1</v>
      </c>
      <c r="N53" s="19">
        <f>+SUM([18]Model!$H$85:$K$85)</f>
        <v>11317</v>
      </c>
      <c r="O53" s="23">
        <f>+$I53/N53</f>
        <v>15.708313945365379</v>
      </c>
      <c r="P53" s="19">
        <f>+SUM([18]Model!$H$28:$K$28)</f>
        <v>10276</v>
      </c>
      <c r="Q53" s="23">
        <f>+$I53/P53</f>
        <v>17.299629128036202</v>
      </c>
      <c r="R53" s="19">
        <f>+[18]Model!W$28</f>
        <v>10129</v>
      </c>
      <c r="S53" s="19">
        <f>+[18]Model!X$28</f>
        <v>11343.136000000004</v>
      </c>
      <c r="T53" s="19">
        <f>+[18]Model!Y$28</f>
        <v>12667.979840000004</v>
      </c>
      <c r="U53" s="23">
        <f t="shared" si="8"/>
        <v>17.550694927406457</v>
      </c>
      <c r="V53" s="23">
        <f t="shared" si="9"/>
        <v>15.672120030977318</v>
      </c>
      <c r="W53" s="23">
        <f t="shared" si="10"/>
        <v>14.033096923502836</v>
      </c>
      <c r="Y53" s="20">
        <v>1850</v>
      </c>
      <c r="Z53" s="8" t="s">
        <v>397</v>
      </c>
      <c r="AA53" s="24" t="s">
        <v>345</v>
      </c>
    </row>
    <row r="54" spans="1:27" x14ac:dyDescent="0.2">
      <c r="B54" s="9" t="s">
        <v>119</v>
      </c>
      <c r="C54" t="s">
        <v>120</v>
      </c>
      <c r="D54" t="s">
        <v>215</v>
      </c>
      <c r="E54" t="s">
        <v>257</v>
      </c>
      <c r="G54" s="19">
        <f t="shared" si="6"/>
        <v>0</v>
      </c>
      <c r="I54" s="19">
        <f t="shared" si="7"/>
        <v>0</v>
      </c>
      <c r="O54" s="23" t="e">
        <f>+$I54/N54</f>
        <v>#DIV/0!</v>
      </c>
      <c r="Q54" s="23" t="e">
        <f>+$I54/P54</f>
        <v>#DIV/0!</v>
      </c>
      <c r="U54" s="23" t="e">
        <f t="shared" si="8"/>
        <v>#DIV/0!</v>
      </c>
      <c r="V54" s="23" t="e">
        <f t="shared" si="9"/>
        <v>#DIV/0!</v>
      </c>
      <c r="W54" s="23" t="e">
        <f t="shared" si="10"/>
        <v>#DIV/0!</v>
      </c>
      <c r="AA54" s="24" t="s">
        <v>346</v>
      </c>
    </row>
    <row r="55" spans="1:27" x14ac:dyDescent="0.2">
      <c r="B55" t="s">
        <v>121</v>
      </c>
      <c r="C55" t="s">
        <v>122</v>
      </c>
      <c r="D55" t="s">
        <v>215</v>
      </c>
      <c r="E55" t="s">
        <v>240</v>
      </c>
      <c r="G55" s="19">
        <f t="shared" si="6"/>
        <v>0</v>
      </c>
      <c r="I55" s="19">
        <f t="shared" si="7"/>
        <v>0</v>
      </c>
      <c r="O55" s="23" t="e">
        <f>+$I55/N55</f>
        <v>#DIV/0!</v>
      </c>
      <c r="Q55" s="23" t="e">
        <f>+$I55/P55</f>
        <v>#DIV/0!</v>
      </c>
      <c r="U55" s="23" t="e">
        <f t="shared" si="8"/>
        <v>#DIV/0!</v>
      </c>
      <c r="V55" s="23" t="e">
        <f t="shared" si="9"/>
        <v>#DIV/0!</v>
      </c>
      <c r="W55" s="23" t="e">
        <f t="shared" si="10"/>
        <v>#DIV/0!</v>
      </c>
      <c r="AA55" s="24" t="s">
        <v>347</v>
      </c>
    </row>
    <row r="56" spans="1:27" x14ac:dyDescent="0.2">
      <c r="B56" t="s">
        <v>123</v>
      </c>
      <c r="C56" t="s">
        <v>124</v>
      </c>
      <c r="D56" t="s">
        <v>214</v>
      </c>
      <c r="E56" t="s">
        <v>238</v>
      </c>
      <c r="G56" s="19">
        <f t="shared" si="6"/>
        <v>0</v>
      </c>
      <c r="I56" s="19">
        <f t="shared" si="7"/>
        <v>0</v>
      </c>
      <c r="O56" s="23" t="e">
        <f>+$I56/N56</f>
        <v>#DIV/0!</v>
      </c>
      <c r="Q56" s="23" t="e">
        <f>+$I56/P56</f>
        <v>#DIV/0!</v>
      </c>
      <c r="U56" s="23" t="e">
        <f t="shared" si="8"/>
        <v>#DIV/0!</v>
      </c>
      <c r="V56" s="23" t="e">
        <f t="shared" si="9"/>
        <v>#DIV/0!</v>
      </c>
      <c r="W56" s="23" t="e">
        <f t="shared" si="10"/>
        <v>#DIV/0!</v>
      </c>
      <c r="AA56" s="24" t="s">
        <v>348</v>
      </c>
    </row>
    <row r="57" spans="1:27" x14ac:dyDescent="0.2">
      <c r="B57" t="s">
        <v>125</v>
      </c>
      <c r="C57" t="s">
        <v>125</v>
      </c>
      <c r="D57" t="s">
        <v>217</v>
      </c>
      <c r="E57" t="s">
        <v>243</v>
      </c>
      <c r="G57" s="19">
        <f t="shared" si="6"/>
        <v>0</v>
      </c>
      <c r="I57" s="19">
        <f t="shared" si="7"/>
        <v>0</v>
      </c>
      <c r="O57" s="23" t="e">
        <f>+$I57/N57</f>
        <v>#DIV/0!</v>
      </c>
      <c r="Q57" s="23" t="e">
        <f>+$I57/P57</f>
        <v>#DIV/0!</v>
      </c>
      <c r="U57" s="23" t="e">
        <f t="shared" si="8"/>
        <v>#DIV/0!</v>
      </c>
      <c r="V57" s="23" t="e">
        <f t="shared" si="9"/>
        <v>#DIV/0!</v>
      </c>
      <c r="W57" s="23" t="e">
        <f t="shared" si="10"/>
        <v>#DIV/0!</v>
      </c>
      <c r="AA57" s="24" t="s">
        <v>349</v>
      </c>
    </row>
    <row r="58" spans="1:27" x14ac:dyDescent="0.2">
      <c r="B58" t="s">
        <v>126</v>
      </c>
      <c r="C58" t="s">
        <v>127</v>
      </c>
      <c r="D58" t="s">
        <v>245</v>
      </c>
      <c r="E58" t="s">
        <v>221</v>
      </c>
      <c r="G58" s="19">
        <f t="shared" si="6"/>
        <v>0</v>
      </c>
      <c r="I58" s="19">
        <f t="shared" si="7"/>
        <v>0</v>
      </c>
      <c r="O58" s="23" t="e">
        <f>+$I58/N58</f>
        <v>#DIV/0!</v>
      </c>
      <c r="Q58" s="23" t="e">
        <f>+$I58/P58</f>
        <v>#DIV/0!</v>
      </c>
      <c r="U58" s="23" t="e">
        <f t="shared" si="8"/>
        <v>#DIV/0!</v>
      </c>
      <c r="V58" s="23" t="e">
        <f t="shared" si="9"/>
        <v>#DIV/0!</v>
      </c>
      <c r="W58" s="23" t="e">
        <f t="shared" si="10"/>
        <v>#DIV/0!</v>
      </c>
      <c r="AA58" s="24" t="s">
        <v>350</v>
      </c>
    </row>
    <row r="59" spans="1:27" x14ac:dyDescent="0.2">
      <c r="A59" s="28">
        <v>45770</v>
      </c>
      <c r="B59" t="s">
        <v>128</v>
      </c>
      <c r="C59" s="9" t="s">
        <v>129</v>
      </c>
      <c r="D59" t="s">
        <v>245</v>
      </c>
      <c r="E59" t="s">
        <v>223</v>
      </c>
      <c r="G59" s="19">
        <f t="shared" si="6"/>
        <v>0</v>
      </c>
      <c r="I59" s="19">
        <f t="shared" si="7"/>
        <v>0</v>
      </c>
      <c r="O59" s="23" t="e">
        <f>+$I59/N59</f>
        <v>#DIV/0!</v>
      </c>
      <c r="Q59" s="23" t="e">
        <f>+$I59/P59</f>
        <v>#DIV/0!</v>
      </c>
      <c r="U59" s="23" t="e">
        <f t="shared" si="8"/>
        <v>#DIV/0!</v>
      </c>
      <c r="V59" s="23" t="e">
        <f t="shared" si="9"/>
        <v>#DIV/0!</v>
      </c>
      <c r="W59" s="23" t="e">
        <f t="shared" si="10"/>
        <v>#DIV/0!</v>
      </c>
      <c r="AA59" s="24" t="s">
        <v>351</v>
      </c>
    </row>
    <row r="60" spans="1:27" x14ac:dyDescent="0.2">
      <c r="B60" t="s">
        <v>130</v>
      </c>
      <c r="C60" t="s">
        <v>131</v>
      </c>
      <c r="D60" t="s">
        <v>214</v>
      </c>
      <c r="E60" t="s">
        <v>254</v>
      </c>
      <c r="G60" s="19">
        <f t="shared" si="6"/>
        <v>0</v>
      </c>
      <c r="I60" s="19">
        <f t="shared" si="7"/>
        <v>0</v>
      </c>
      <c r="O60" s="23" t="e">
        <f>+$I60/N60</f>
        <v>#DIV/0!</v>
      </c>
      <c r="Q60" s="23" t="e">
        <f>+$I60/P60</f>
        <v>#DIV/0!</v>
      </c>
      <c r="U60" s="23" t="e">
        <f t="shared" si="8"/>
        <v>#DIV/0!</v>
      </c>
      <c r="V60" s="23" t="e">
        <f t="shared" si="9"/>
        <v>#DIV/0!</v>
      </c>
      <c r="W60" s="23" t="e">
        <f t="shared" si="10"/>
        <v>#DIV/0!</v>
      </c>
      <c r="AA60" s="24" t="s">
        <v>352</v>
      </c>
    </row>
    <row r="61" spans="1:27" x14ac:dyDescent="0.2">
      <c r="B61" t="s">
        <v>132</v>
      </c>
      <c r="C61" t="s">
        <v>133</v>
      </c>
      <c r="D61" t="s">
        <v>245</v>
      </c>
      <c r="E61" t="s">
        <v>223</v>
      </c>
      <c r="G61" s="19">
        <f t="shared" si="6"/>
        <v>0</v>
      </c>
      <c r="I61" s="19">
        <f t="shared" si="7"/>
        <v>0</v>
      </c>
      <c r="O61" s="23" t="e">
        <f>+$I61/N61</f>
        <v>#DIV/0!</v>
      </c>
      <c r="Q61" s="23" t="e">
        <f>+$I61/P61</f>
        <v>#DIV/0!</v>
      </c>
      <c r="U61" s="23" t="e">
        <f t="shared" si="8"/>
        <v>#DIV/0!</v>
      </c>
      <c r="V61" s="23" t="e">
        <f t="shared" si="9"/>
        <v>#DIV/0!</v>
      </c>
      <c r="W61" s="23" t="e">
        <f t="shared" si="10"/>
        <v>#DIV/0!</v>
      </c>
      <c r="AA61" s="24" t="s">
        <v>353</v>
      </c>
    </row>
    <row r="62" spans="1:27" x14ac:dyDescent="0.2">
      <c r="B62" t="s">
        <v>134</v>
      </c>
      <c r="C62" t="s">
        <v>135</v>
      </c>
      <c r="D62" t="s">
        <v>215</v>
      </c>
      <c r="E62" t="s">
        <v>240</v>
      </c>
      <c r="G62" s="19">
        <f t="shared" si="6"/>
        <v>0</v>
      </c>
      <c r="I62" s="19">
        <f t="shared" si="7"/>
        <v>0</v>
      </c>
      <c r="O62" s="23" t="e">
        <f>+$I62/N62</f>
        <v>#DIV/0!</v>
      </c>
      <c r="Q62" s="23" t="e">
        <f>+$I62/P62</f>
        <v>#DIV/0!</v>
      </c>
      <c r="U62" s="23" t="e">
        <f t="shared" si="8"/>
        <v>#DIV/0!</v>
      </c>
      <c r="V62" s="23" t="e">
        <f t="shared" si="9"/>
        <v>#DIV/0!</v>
      </c>
      <c r="W62" s="23" t="e">
        <f t="shared" si="10"/>
        <v>#DIV/0!</v>
      </c>
      <c r="AA62" s="24" t="s">
        <v>354</v>
      </c>
    </row>
    <row r="63" spans="1:27" x14ac:dyDescent="0.2">
      <c r="B63" t="s">
        <v>136</v>
      </c>
      <c r="C63" t="s">
        <v>137</v>
      </c>
      <c r="D63" t="s">
        <v>215</v>
      </c>
      <c r="E63" t="s">
        <v>258</v>
      </c>
      <c r="G63" s="19">
        <f t="shared" si="6"/>
        <v>0</v>
      </c>
      <c r="I63" s="19">
        <f t="shared" si="7"/>
        <v>0</v>
      </c>
      <c r="O63" s="23" t="e">
        <f>+$I63/N63</f>
        <v>#DIV/0!</v>
      </c>
      <c r="Q63" s="23" t="e">
        <f>+$I63/P63</f>
        <v>#DIV/0!</v>
      </c>
      <c r="U63" s="23" t="e">
        <f t="shared" si="8"/>
        <v>#DIV/0!</v>
      </c>
      <c r="V63" s="23" t="e">
        <f t="shared" si="9"/>
        <v>#DIV/0!</v>
      </c>
      <c r="W63" s="23" t="e">
        <f t="shared" si="10"/>
        <v>#DIV/0!</v>
      </c>
      <c r="AA63" s="24" t="s">
        <v>355</v>
      </c>
    </row>
    <row r="64" spans="1:27" x14ac:dyDescent="0.2">
      <c r="B64" t="s">
        <v>138</v>
      </c>
      <c r="C64" t="s">
        <v>139</v>
      </c>
      <c r="D64" t="s">
        <v>214</v>
      </c>
      <c r="E64" t="s">
        <v>255</v>
      </c>
      <c r="G64" s="19">
        <f t="shared" si="6"/>
        <v>0</v>
      </c>
      <c r="I64" s="19">
        <f t="shared" si="7"/>
        <v>0</v>
      </c>
      <c r="O64" s="23" t="e">
        <f>+$I64/N64</f>
        <v>#DIV/0!</v>
      </c>
      <c r="Q64" s="23" t="e">
        <f>+$I64/P64</f>
        <v>#DIV/0!</v>
      </c>
      <c r="U64" s="23" t="e">
        <f t="shared" si="8"/>
        <v>#DIV/0!</v>
      </c>
      <c r="V64" s="23" t="e">
        <f t="shared" si="9"/>
        <v>#DIV/0!</v>
      </c>
      <c r="W64" s="23" t="e">
        <f t="shared" si="10"/>
        <v>#DIV/0!</v>
      </c>
      <c r="AA64" s="24" t="s">
        <v>356</v>
      </c>
    </row>
    <row r="65" spans="1:27" x14ac:dyDescent="0.2">
      <c r="B65" t="s">
        <v>140</v>
      </c>
      <c r="C65" t="s">
        <v>141</v>
      </c>
      <c r="D65" t="s">
        <v>215</v>
      </c>
      <c r="E65" t="s">
        <v>257</v>
      </c>
      <c r="G65" s="19">
        <f t="shared" si="6"/>
        <v>0</v>
      </c>
      <c r="I65" s="19">
        <f t="shared" si="7"/>
        <v>0</v>
      </c>
      <c r="O65" s="23" t="e">
        <f>+$I65/N65</f>
        <v>#DIV/0!</v>
      </c>
      <c r="Q65" s="23" t="e">
        <f>+$I65/P65</f>
        <v>#DIV/0!</v>
      </c>
      <c r="U65" s="23" t="e">
        <f t="shared" si="8"/>
        <v>#DIV/0!</v>
      </c>
      <c r="V65" s="23" t="e">
        <f t="shared" si="9"/>
        <v>#DIV/0!</v>
      </c>
      <c r="W65" s="23" t="e">
        <f t="shared" si="10"/>
        <v>#DIV/0!</v>
      </c>
      <c r="AA65" s="24" t="s">
        <v>357</v>
      </c>
    </row>
    <row r="66" spans="1:27" x14ac:dyDescent="0.2">
      <c r="B66" t="s">
        <v>142</v>
      </c>
      <c r="C66" t="s">
        <v>143</v>
      </c>
      <c r="D66" t="s">
        <v>212</v>
      </c>
      <c r="E66" t="s">
        <v>249</v>
      </c>
      <c r="G66" s="19">
        <f t="shared" si="6"/>
        <v>0</v>
      </c>
      <c r="I66" s="19">
        <f t="shared" si="7"/>
        <v>0</v>
      </c>
      <c r="O66" s="23" t="e">
        <f>+$I66/N66</f>
        <v>#DIV/0!</v>
      </c>
      <c r="Q66" s="23" t="e">
        <f>+$I66/P66</f>
        <v>#DIV/0!</v>
      </c>
      <c r="U66" s="23" t="e">
        <f t="shared" si="8"/>
        <v>#DIV/0!</v>
      </c>
      <c r="V66" s="23" t="e">
        <f t="shared" si="9"/>
        <v>#DIV/0!</v>
      </c>
      <c r="W66" s="23" t="e">
        <f t="shared" si="10"/>
        <v>#DIV/0!</v>
      </c>
      <c r="AA66" s="24" t="s">
        <v>358</v>
      </c>
    </row>
    <row r="67" spans="1:27" x14ac:dyDescent="0.2">
      <c r="B67" t="s">
        <v>144</v>
      </c>
      <c r="C67" t="s">
        <v>145</v>
      </c>
      <c r="D67" t="s">
        <v>213</v>
      </c>
      <c r="E67" t="s">
        <v>253</v>
      </c>
      <c r="G67" s="19">
        <f t="shared" si="6"/>
        <v>0</v>
      </c>
      <c r="I67" s="19">
        <f t="shared" si="7"/>
        <v>0</v>
      </c>
      <c r="O67" s="23" t="e">
        <f>+$I67/N67</f>
        <v>#DIV/0!</v>
      </c>
      <c r="Q67" s="23" t="e">
        <f>+$I67/P67</f>
        <v>#DIV/0!</v>
      </c>
      <c r="U67" s="23" t="e">
        <f t="shared" si="8"/>
        <v>#DIV/0!</v>
      </c>
      <c r="V67" s="23" t="e">
        <f t="shared" si="9"/>
        <v>#DIV/0!</v>
      </c>
      <c r="W67" s="23" t="e">
        <f t="shared" si="10"/>
        <v>#DIV/0!</v>
      </c>
      <c r="AA67" s="24" t="s">
        <v>359</v>
      </c>
    </row>
    <row r="68" spans="1:27" x14ac:dyDescent="0.2">
      <c r="A68" s="28">
        <v>45784</v>
      </c>
      <c r="B68" t="s">
        <v>146</v>
      </c>
      <c r="C68" s="9" t="s">
        <v>248</v>
      </c>
      <c r="D68" t="s">
        <v>212</v>
      </c>
      <c r="E68" t="s">
        <v>250</v>
      </c>
      <c r="G68" s="19">
        <f t="shared" si="6"/>
        <v>0</v>
      </c>
      <c r="I68" s="19">
        <f t="shared" si="7"/>
        <v>0</v>
      </c>
      <c r="O68" s="23" t="e">
        <f>+$I68/N68</f>
        <v>#DIV/0!</v>
      </c>
      <c r="Q68" s="23" t="e">
        <f>+$I68/P68</f>
        <v>#DIV/0!</v>
      </c>
      <c r="U68" s="23" t="e">
        <f t="shared" si="8"/>
        <v>#DIV/0!</v>
      </c>
      <c r="V68" s="23" t="e">
        <f t="shared" si="9"/>
        <v>#DIV/0!</v>
      </c>
      <c r="W68" s="23" t="e">
        <f t="shared" si="10"/>
        <v>#DIV/0!</v>
      </c>
      <c r="AA68" s="24" t="s">
        <v>360</v>
      </c>
    </row>
    <row r="69" spans="1:27" x14ac:dyDescent="0.2">
      <c r="A69" s="28">
        <v>45783</v>
      </c>
      <c r="B69" t="s">
        <v>147</v>
      </c>
      <c r="C69" s="9" t="s">
        <v>148</v>
      </c>
      <c r="D69" t="s">
        <v>245</v>
      </c>
      <c r="E69" t="s">
        <v>219</v>
      </c>
      <c r="G69" s="19">
        <f t="shared" si="6"/>
        <v>0</v>
      </c>
      <c r="I69" s="19">
        <f t="shared" si="7"/>
        <v>0</v>
      </c>
      <c r="O69" s="23" t="e">
        <f>+$I69/N69</f>
        <v>#DIV/0!</v>
      </c>
      <c r="Q69" s="23" t="e">
        <f>+$I69/P69</f>
        <v>#DIV/0!</v>
      </c>
      <c r="U69" s="23" t="e">
        <f t="shared" si="8"/>
        <v>#DIV/0!</v>
      </c>
      <c r="V69" s="23" t="e">
        <f t="shared" si="9"/>
        <v>#DIV/0!</v>
      </c>
      <c r="W69" s="23" t="e">
        <f t="shared" si="10"/>
        <v>#DIV/0!</v>
      </c>
      <c r="AA69" s="24" t="s">
        <v>361</v>
      </c>
    </row>
    <row r="70" spans="1:27" x14ac:dyDescent="0.2">
      <c r="B70" t="s">
        <v>149</v>
      </c>
      <c r="C70" t="s">
        <v>150</v>
      </c>
      <c r="D70" t="s">
        <v>211</v>
      </c>
      <c r="E70" t="s">
        <v>225</v>
      </c>
      <c r="G70" s="19">
        <f t="shared" si="6"/>
        <v>0</v>
      </c>
      <c r="I70" s="19">
        <f t="shared" si="7"/>
        <v>0</v>
      </c>
      <c r="O70" s="23" t="e">
        <f>+$I70/N70</f>
        <v>#DIV/0!</v>
      </c>
      <c r="Q70" s="23" t="e">
        <f>+$I70/P70</f>
        <v>#DIV/0!</v>
      </c>
      <c r="U70" s="23" t="e">
        <f t="shared" si="8"/>
        <v>#DIV/0!</v>
      </c>
      <c r="V70" s="23" t="e">
        <f t="shared" si="9"/>
        <v>#DIV/0!</v>
      </c>
      <c r="W70" s="23" t="e">
        <f t="shared" si="10"/>
        <v>#DIV/0!</v>
      </c>
      <c r="AA70" s="24" t="s">
        <v>362</v>
      </c>
    </row>
    <row r="71" spans="1:27" x14ac:dyDescent="0.2">
      <c r="A71" s="28">
        <v>45777</v>
      </c>
      <c r="B71" t="s">
        <v>151</v>
      </c>
      <c r="C71" s="9" t="s">
        <v>152</v>
      </c>
      <c r="D71" t="s">
        <v>245</v>
      </c>
      <c r="E71" t="s">
        <v>219</v>
      </c>
      <c r="G71" s="19">
        <f t="shared" si="6"/>
        <v>0</v>
      </c>
      <c r="I71" s="19">
        <f t="shared" si="7"/>
        <v>0</v>
      </c>
      <c r="O71" s="23" t="e">
        <f>+$I71/N71</f>
        <v>#DIV/0!</v>
      </c>
      <c r="Q71" s="23" t="e">
        <f>+$I71/P71</f>
        <v>#DIV/0!</v>
      </c>
      <c r="U71" s="23" t="e">
        <f t="shared" si="8"/>
        <v>#DIV/0!</v>
      </c>
      <c r="V71" s="23" t="e">
        <f t="shared" si="9"/>
        <v>#DIV/0!</v>
      </c>
      <c r="W71" s="23" t="e">
        <f t="shared" si="10"/>
        <v>#DIV/0!</v>
      </c>
      <c r="AA71" s="24" t="s">
        <v>363</v>
      </c>
    </row>
    <row r="72" spans="1:27" x14ac:dyDescent="0.2">
      <c r="A72" s="28">
        <v>45776</v>
      </c>
      <c r="B72" t="s">
        <v>270</v>
      </c>
      <c r="C72" s="9" t="s">
        <v>153</v>
      </c>
      <c r="D72" t="s">
        <v>212</v>
      </c>
      <c r="E72" t="s">
        <v>251</v>
      </c>
      <c r="G72" s="19">
        <f t="shared" si="6"/>
        <v>0</v>
      </c>
      <c r="I72" s="19">
        <f t="shared" si="7"/>
        <v>0</v>
      </c>
      <c r="O72" s="23" t="e">
        <f>+$I72/N72</f>
        <v>#DIV/0!</v>
      </c>
      <c r="Q72" s="23" t="e">
        <f>+$I72/P72</f>
        <v>#DIV/0!</v>
      </c>
      <c r="U72" s="23" t="e">
        <f t="shared" si="8"/>
        <v>#DIV/0!</v>
      </c>
      <c r="V72" s="23" t="e">
        <f t="shared" si="9"/>
        <v>#DIV/0!</v>
      </c>
      <c r="W72" s="23" t="e">
        <f t="shared" si="10"/>
        <v>#DIV/0!</v>
      </c>
      <c r="AA72" s="24" t="s">
        <v>364</v>
      </c>
    </row>
    <row r="73" spans="1:27" x14ac:dyDescent="0.2">
      <c r="B73" t="s">
        <v>154</v>
      </c>
      <c r="C73" s="9" t="s">
        <v>155</v>
      </c>
      <c r="D73" t="s">
        <v>245</v>
      </c>
      <c r="E73" t="s">
        <v>223</v>
      </c>
      <c r="G73" s="19">
        <f t="shared" si="6"/>
        <v>0</v>
      </c>
      <c r="I73" s="19">
        <f t="shared" si="7"/>
        <v>0</v>
      </c>
      <c r="O73" s="23" t="e">
        <f>+$I73/N73</f>
        <v>#DIV/0!</v>
      </c>
      <c r="Q73" s="23" t="e">
        <f>+$I73/P73</f>
        <v>#DIV/0!</v>
      </c>
      <c r="U73" s="23" t="e">
        <f t="shared" si="8"/>
        <v>#DIV/0!</v>
      </c>
      <c r="V73" s="23" t="e">
        <f t="shared" si="9"/>
        <v>#DIV/0!</v>
      </c>
      <c r="W73" s="23" t="e">
        <f t="shared" si="10"/>
        <v>#DIV/0!</v>
      </c>
      <c r="AA73" s="24" t="s">
        <v>365</v>
      </c>
    </row>
    <row r="74" spans="1:27" x14ac:dyDescent="0.2">
      <c r="B74" t="s">
        <v>156</v>
      </c>
      <c r="C74" t="s">
        <v>157</v>
      </c>
      <c r="D74" t="s">
        <v>215</v>
      </c>
      <c r="E74" t="s">
        <v>240</v>
      </c>
      <c r="G74" s="19">
        <f t="shared" si="6"/>
        <v>0</v>
      </c>
      <c r="I74" s="19">
        <f t="shared" si="7"/>
        <v>0</v>
      </c>
      <c r="O74" s="23" t="e">
        <f>+$I74/N74</f>
        <v>#DIV/0!</v>
      </c>
      <c r="Q74" s="23" t="e">
        <f>+$I74/P74</f>
        <v>#DIV/0!</v>
      </c>
      <c r="U74" s="23" t="e">
        <f t="shared" si="8"/>
        <v>#DIV/0!</v>
      </c>
      <c r="V74" s="23" t="e">
        <f t="shared" si="9"/>
        <v>#DIV/0!</v>
      </c>
      <c r="W74" s="23" t="e">
        <f t="shared" si="10"/>
        <v>#DIV/0!</v>
      </c>
      <c r="AA74" s="24" t="s">
        <v>366</v>
      </c>
    </row>
    <row r="75" spans="1:27" x14ac:dyDescent="0.2">
      <c r="B75" t="s">
        <v>158</v>
      </c>
      <c r="C75" t="s">
        <v>159</v>
      </c>
      <c r="D75" t="s">
        <v>212</v>
      </c>
      <c r="E75" t="s">
        <v>229</v>
      </c>
      <c r="G75" s="19">
        <f t="shared" si="6"/>
        <v>0</v>
      </c>
      <c r="I75" s="19">
        <f t="shared" si="7"/>
        <v>0</v>
      </c>
      <c r="O75" s="23" t="e">
        <f>+$I75/N75</f>
        <v>#DIV/0!</v>
      </c>
      <c r="Q75" s="23" t="e">
        <f>+$I75/P75</f>
        <v>#DIV/0!</v>
      </c>
      <c r="U75" s="23" t="e">
        <f t="shared" si="8"/>
        <v>#DIV/0!</v>
      </c>
      <c r="V75" s="23" t="e">
        <f t="shared" si="9"/>
        <v>#DIV/0!</v>
      </c>
      <c r="W75" s="23" t="e">
        <f t="shared" si="10"/>
        <v>#DIV/0!</v>
      </c>
      <c r="AA75" s="24" t="s">
        <v>367</v>
      </c>
    </row>
    <row r="76" spans="1:27" x14ac:dyDescent="0.2">
      <c r="A76" s="28">
        <v>45776</v>
      </c>
      <c r="B76" t="s">
        <v>160</v>
      </c>
      <c r="C76" s="9" t="s">
        <v>161</v>
      </c>
      <c r="D76" t="s">
        <v>215</v>
      </c>
      <c r="E76" t="s">
        <v>260</v>
      </c>
      <c r="G76" s="19">
        <f t="shared" si="6"/>
        <v>0</v>
      </c>
      <c r="I76" s="19">
        <f t="shared" si="7"/>
        <v>0</v>
      </c>
      <c r="O76" s="23" t="e">
        <f>+$I76/N76</f>
        <v>#DIV/0!</v>
      </c>
      <c r="Q76" s="23" t="e">
        <f>+$I76/P76</f>
        <v>#DIV/0!</v>
      </c>
      <c r="U76" s="23" t="e">
        <f t="shared" si="8"/>
        <v>#DIV/0!</v>
      </c>
      <c r="V76" s="23" t="e">
        <f t="shared" si="9"/>
        <v>#DIV/0!</v>
      </c>
      <c r="W76" s="23" t="e">
        <f t="shared" si="10"/>
        <v>#DIV/0!</v>
      </c>
      <c r="AA76" s="24" t="s">
        <v>368</v>
      </c>
    </row>
    <row r="77" spans="1:27" x14ac:dyDescent="0.2">
      <c r="B77" t="s">
        <v>162</v>
      </c>
      <c r="C77" t="s">
        <v>163</v>
      </c>
      <c r="D77" t="s">
        <v>212</v>
      </c>
      <c r="E77" t="s">
        <v>252</v>
      </c>
      <c r="G77" s="19">
        <f t="shared" si="6"/>
        <v>0</v>
      </c>
      <c r="I77" s="19">
        <f t="shared" si="7"/>
        <v>0</v>
      </c>
      <c r="O77" s="23" t="e">
        <f>+$I77/N77</f>
        <v>#DIV/0!</v>
      </c>
      <c r="Q77" s="23" t="e">
        <f>+$I77/P77</f>
        <v>#DIV/0!</v>
      </c>
      <c r="U77" s="23" t="e">
        <f t="shared" si="8"/>
        <v>#DIV/0!</v>
      </c>
      <c r="V77" s="23" t="e">
        <f t="shared" si="9"/>
        <v>#DIV/0!</v>
      </c>
      <c r="W77" s="23" t="e">
        <f t="shared" si="10"/>
        <v>#DIV/0!</v>
      </c>
      <c r="AA77" s="24" t="s">
        <v>369</v>
      </c>
    </row>
    <row r="78" spans="1:27" x14ac:dyDescent="0.2">
      <c r="B78" t="s">
        <v>164</v>
      </c>
      <c r="C78" t="s">
        <v>165</v>
      </c>
      <c r="D78" t="s">
        <v>217</v>
      </c>
      <c r="E78" t="s">
        <v>262</v>
      </c>
      <c r="G78" s="19">
        <f t="shared" si="6"/>
        <v>0</v>
      </c>
      <c r="I78" s="19">
        <f t="shared" si="7"/>
        <v>0</v>
      </c>
      <c r="O78" s="23" t="e">
        <f>+$I78/N78</f>
        <v>#DIV/0!</v>
      </c>
      <c r="Q78" s="23" t="e">
        <f>+$I78/P78</f>
        <v>#DIV/0!</v>
      </c>
      <c r="U78" s="23" t="e">
        <f t="shared" si="8"/>
        <v>#DIV/0!</v>
      </c>
      <c r="V78" s="23" t="e">
        <f t="shared" si="9"/>
        <v>#DIV/0!</v>
      </c>
      <c r="W78" s="23" t="e">
        <f t="shared" si="10"/>
        <v>#DIV/0!</v>
      </c>
      <c r="AA78" s="24" t="s">
        <v>370</v>
      </c>
    </row>
    <row r="79" spans="1:27" x14ac:dyDescent="0.2">
      <c r="B79" t="s">
        <v>166</v>
      </c>
      <c r="C79" t="s">
        <v>167</v>
      </c>
      <c r="D79" t="s">
        <v>215</v>
      </c>
      <c r="E79" t="s">
        <v>257</v>
      </c>
      <c r="G79" s="19">
        <f t="shared" si="6"/>
        <v>0</v>
      </c>
      <c r="I79" s="19">
        <f t="shared" si="7"/>
        <v>0</v>
      </c>
      <c r="O79" s="23" t="e">
        <f>+$I79/N79</f>
        <v>#DIV/0!</v>
      </c>
      <c r="Q79" s="23" t="e">
        <f>+$I79/P79</f>
        <v>#DIV/0!</v>
      </c>
      <c r="U79" s="23" t="e">
        <f t="shared" si="8"/>
        <v>#DIV/0!</v>
      </c>
      <c r="V79" s="23" t="e">
        <f t="shared" si="9"/>
        <v>#DIV/0!</v>
      </c>
      <c r="W79" s="23" t="e">
        <f t="shared" si="10"/>
        <v>#DIV/0!</v>
      </c>
      <c r="AA79" s="24" t="s">
        <v>371</v>
      </c>
    </row>
    <row r="80" spans="1:27" x14ac:dyDescent="0.2">
      <c r="B80" t="s">
        <v>168</v>
      </c>
      <c r="C80" t="s">
        <v>169</v>
      </c>
      <c r="D80" t="s">
        <v>266</v>
      </c>
      <c r="E80" t="s">
        <v>267</v>
      </c>
      <c r="G80" s="19">
        <f t="shared" si="6"/>
        <v>0</v>
      </c>
      <c r="I80" s="19">
        <f t="shared" si="7"/>
        <v>0</v>
      </c>
      <c r="O80" s="23" t="e">
        <f>+$I80/N80</f>
        <v>#DIV/0!</v>
      </c>
      <c r="Q80" s="23" t="e">
        <f>+$I80/P80</f>
        <v>#DIV/0!</v>
      </c>
      <c r="U80" s="23" t="e">
        <f t="shared" si="8"/>
        <v>#DIV/0!</v>
      </c>
      <c r="V80" s="23" t="e">
        <f t="shared" si="9"/>
        <v>#DIV/0!</v>
      </c>
      <c r="W80" s="23" t="e">
        <f t="shared" si="10"/>
        <v>#DIV/0!</v>
      </c>
      <c r="AA80" s="24" t="s">
        <v>372</v>
      </c>
    </row>
    <row r="81" spans="1:27" x14ac:dyDescent="0.2">
      <c r="B81" t="s">
        <v>170</v>
      </c>
      <c r="C81" t="s">
        <v>171</v>
      </c>
      <c r="D81" t="s">
        <v>214</v>
      </c>
      <c r="E81" t="s">
        <v>238</v>
      </c>
      <c r="G81" s="19">
        <f t="shared" si="6"/>
        <v>0</v>
      </c>
      <c r="I81" s="19">
        <f t="shared" si="7"/>
        <v>0</v>
      </c>
      <c r="O81" s="23" t="e">
        <f>+$I81/N81</f>
        <v>#DIV/0!</v>
      </c>
      <c r="Q81" s="23" t="e">
        <f>+$I81/P81</f>
        <v>#DIV/0!</v>
      </c>
      <c r="U81" s="23" t="e">
        <f t="shared" si="8"/>
        <v>#DIV/0!</v>
      </c>
      <c r="V81" s="23" t="e">
        <f t="shared" si="9"/>
        <v>#DIV/0!</v>
      </c>
      <c r="W81" s="23" t="e">
        <f t="shared" si="10"/>
        <v>#DIV/0!</v>
      </c>
      <c r="AA81" s="24" t="s">
        <v>373</v>
      </c>
    </row>
    <row r="82" spans="1:27" x14ac:dyDescent="0.2">
      <c r="A82" s="28">
        <v>45770</v>
      </c>
      <c r="B82" t="s">
        <v>172</v>
      </c>
      <c r="C82" s="9" t="s">
        <v>173</v>
      </c>
      <c r="D82" t="s">
        <v>245</v>
      </c>
      <c r="E82" t="s">
        <v>219</v>
      </c>
      <c r="G82" s="19">
        <f t="shared" si="6"/>
        <v>0</v>
      </c>
      <c r="I82" s="19">
        <f t="shared" si="7"/>
        <v>0</v>
      </c>
      <c r="O82" s="23" t="e">
        <f>+$I82/N82</f>
        <v>#DIV/0!</v>
      </c>
      <c r="Q82" s="23" t="e">
        <f>+$I82/P82</f>
        <v>#DIV/0!</v>
      </c>
      <c r="U82" s="23" t="e">
        <f t="shared" si="8"/>
        <v>#DIV/0!</v>
      </c>
      <c r="V82" s="23" t="e">
        <f t="shared" si="9"/>
        <v>#DIV/0!</v>
      </c>
      <c r="W82" s="23" t="e">
        <f t="shared" si="10"/>
        <v>#DIV/0!</v>
      </c>
      <c r="AA82" s="24" t="s">
        <v>374</v>
      </c>
    </row>
    <row r="83" spans="1:27" x14ac:dyDescent="0.2">
      <c r="B83" t="s">
        <v>174</v>
      </c>
      <c r="C83" t="s">
        <v>175</v>
      </c>
      <c r="D83" t="s">
        <v>216</v>
      </c>
      <c r="E83" t="s">
        <v>242</v>
      </c>
      <c r="G83" s="19">
        <f t="shared" si="6"/>
        <v>0</v>
      </c>
      <c r="I83" s="19">
        <f t="shared" si="7"/>
        <v>0</v>
      </c>
      <c r="O83" s="23" t="e">
        <f>+$I83/N83</f>
        <v>#DIV/0!</v>
      </c>
      <c r="Q83" s="23" t="e">
        <f>+$I83/P83</f>
        <v>#DIV/0!</v>
      </c>
      <c r="U83" s="23" t="e">
        <f t="shared" si="8"/>
        <v>#DIV/0!</v>
      </c>
      <c r="V83" s="23" t="e">
        <f t="shared" si="9"/>
        <v>#DIV/0!</v>
      </c>
      <c r="W83" s="23" t="e">
        <f t="shared" si="10"/>
        <v>#DIV/0!</v>
      </c>
      <c r="AA83" s="24" t="s">
        <v>375</v>
      </c>
    </row>
    <row r="84" spans="1:27" x14ac:dyDescent="0.2">
      <c r="B84" t="s">
        <v>176</v>
      </c>
      <c r="C84" t="s">
        <v>177</v>
      </c>
      <c r="D84" t="s">
        <v>214</v>
      </c>
      <c r="E84" t="s">
        <v>254</v>
      </c>
      <c r="G84" s="19">
        <f t="shared" si="6"/>
        <v>0</v>
      </c>
      <c r="I84" s="19">
        <f t="shared" si="7"/>
        <v>0</v>
      </c>
      <c r="O84" s="23" t="e">
        <f>+$I84/N84</f>
        <v>#DIV/0!</v>
      </c>
      <c r="Q84" s="23" t="e">
        <f>+$I84/P84</f>
        <v>#DIV/0!</v>
      </c>
      <c r="U84" s="23" t="e">
        <f t="shared" si="8"/>
        <v>#DIV/0!</v>
      </c>
      <c r="V84" s="23" t="e">
        <f t="shared" si="9"/>
        <v>#DIV/0!</v>
      </c>
      <c r="W84" s="23" t="e">
        <f t="shared" si="10"/>
        <v>#DIV/0!</v>
      </c>
      <c r="AA84" s="24" t="s">
        <v>376</v>
      </c>
    </row>
    <row r="85" spans="1:27" x14ac:dyDescent="0.2">
      <c r="B85" t="s">
        <v>178</v>
      </c>
      <c r="C85" t="s">
        <v>179</v>
      </c>
      <c r="D85" t="s">
        <v>217</v>
      </c>
      <c r="E85" t="s">
        <v>263</v>
      </c>
      <c r="G85" s="19">
        <f t="shared" si="6"/>
        <v>0</v>
      </c>
      <c r="I85" s="19">
        <f t="shared" si="7"/>
        <v>0</v>
      </c>
      <c r="O85" s="23" t="e">
        <f>+$I85/N85</f>
        <v>#DIV/0!</v>
      </c>
      <c r="Q85" s="23" t="e">
        <f>+$I85/P85</f>
        <v>#DIV/0!</v>
      </c>
      <c r="U85" s="23" t="e">
        <f t="shared" si="8"/>
        <v>#DIV/0!</v>
      </c>
      <c r="V85" s="23" t="e">
        <f t="shared" si="9"/>
        <v>#DIV/0!</v>
      </c>
      <c r="W85" s="23" t="e">
        <f t="shared" si="10"/>
        <v>#DIV/0!</v>
      </c>
      <c r="AA85" s="24" t="s">
        <v>377</v>
      </c>
    </row>
    <row r="86" spans="1:27" x14ac:dyDescent="0.2">
      <c r="B86" t="s">
        <v>180</v>
      </c>
      <c r="C86" t="s">
        <v>181</v>
      </c>
      <c r="D86" t="s">
        <v>214</v>
      </c>
      <c r="E86" t="s">
        <v>238</v>
      </c>
      <c r="G86" s="19">
        <f t="shared" si="6"/>
        <v>0</v>
      </c>
      <c r="I86" s="19">
        <f t="shared" si="7"/>
        <v>0</v>
      </c>
      <c r="O86" s="23" t="e">
        <f>+$I86/N86</f>
        <v>#DIV/0!</v>
      </c>
      <c r="Q86" s="23" t="e">
        <f>+$I86/P86</f>
        <v>#DIV/0!</v>
      </c>
      <c r="U86" s="23" t="e">
        <f t="shared" si="8"/>
        <v>#DIV/0!</v>
      </c>
      <c r="V86" s="23" t="e">
        <f t="shared" si="9"/>
        <v>#DIV/0!</v>
      </c>
      <c r="W86" s="23" t="e">
        <f t="shared" si="10"/>
        <v>#DIV/0!</v>
      </c>
      <c r="AA86" s="24" t="s">
        <v>378</v>
      </c>
    </row>
    <row r="87" spans="1:27" x14ac:dyDescent="0.2">
      <c r="B87" t="s">
        <v>182</v>
      </c>
      <c r="C87" t="s">
        <v>183</v>
      </c>
      <c r="D87" t="s">
        <v>214</v>
      </c>
      <c r="E87" t="s">
        <v>255</v>
      </c>
      <c r="G87" s="19">
        <f t="shared" si="6"/>
        <v>0</v>
      </c>
      <c r="I87" s="19">
        <f t="shared" si="7"/>
        <v>0</v>
      </c>
      <c r="O87" s="23" t="e">
        <f>+$I87/N87</f>
        <v>#DIV/0!</v>
      </c>
      <c r="Q87" s="23" t="e">
        <f>+$I87/P87</f>
        <v>#DIV/0!</v>
      </c>
      <c r="U87" s="23" t="e">
        <f t="shared" si="8"/>
        <v>#DIV/0!</v>
      </c>
      <c r="V87" s="23" t="e">
        <f t="shared" si="9"/>
        <v>#DIV/0!</v>
      </c>
      <c r="W87" s="23" t="e">
        <f t="shared" si="10"/>
        <v>#DIV/0!</v>
      </c>
      <c r="AA87" s="24" t="s">
        <v>379</v>
      </c>
    </row>
    <row r="88" spans="1:27" x14ac:dyDescent="0.2">
      <c r="B88" t="s">
        <v>184</v>
      </c>
      <c r="C88" t="s">
        <v>185</v>
      </c>
      <c r="D88" t="s">
        <v>215</v>
      </c>
      <c r="E88" t="s">
        <v>261</v>
      </c>
      <c r="G88" s="19">
        <f t="shared" si="6"/>
        <v>0</v>
      </c>
      <c r="I88" s="19">
        <f t="shared" si="7"/>
        <v>0</v>
      </c>
      <c r="O88" s="23" t="e">
        <f>+$I88/N88</f>
        <v>#DIV/0!</v>
      </c>
      <c r="Q88" s="23" t="e">
        <f>+$I88/P88</f>
        <v>#DIV/0!</v>
      </c>
      <c r="U88" s="23" t="e">
        <f t="shared" si="8"/>
        <v>#DIV/0!</v>
      </c>
      <c r="V88" s="23" t="e">
        <f t="shared" si="9"/>
        <v>#DIV/0!</v>
      </c>
      <c r="W88" s="23" t="e">
        <f t="shared" si="10"/>
        <v>#DIV/0!</v>
      </c>
      <c r="AA88" s="24" t="s">
        <v>380</v>
      </c>
    </row>
    <row r="89" spans="1:27" x14ac:dyDescent="0.2">
      <c r="B89" t="s">
        <v>186</v>
      </c>
      <c r="C89" t="s">
        <v>187</v>
      </c>
      <c r="D89" t="s">
        <v>211</v>
      </c>
      <c r="E89" t="s">
        <v>247</v>
      </c>
      <c r="G89" s="19">
        <f t="shared" si="6"/>
        <v>0</v>
      </c>
      <c r="I89" s="19">
        <f t="shared" si="7"/>
        <v>0</v>
      </c>
      <c r="O89" s="23" t="e">
        <f>+$I89/N89</f>
        <v>#DIV/0!</v>
      </c>
      <c r="Q89" s="23" t="e">
        <f>+$I89/P89</f>
        <v>#DIV/0!</v>
      </c>
      <c r="U89" s="23" t="e">
        <f t="shared" si="8"/>
        <v>#DIV/0!</v>
      </c>
      <c r="V89" s="23" t="e">
        <f t="shared" si="9"/>
        <v>#DIV/0!</v>
      </c>
      <c r="W89" s="23" t="e">
        <f t="shared" si="10"/>
        <v>#DIV/0!</v>
      </c>
      <c r="AA89" s="24" t="s">
        <v>381</v>
      </c>
    </row>
    <row r="90" spans="1:27" x14ac:dyDescent="0.2">
      <c r="B90" t="s">
        <v>188</v>
      </c>
      <c r="C90" t="s">
        <v>189</v>
      </c>
      <c r="D90" t="s">
        <v>211</v>
      </c>
      <c r="E90" t="s">
        <v>228</v>
      </c>
      <c r="G90" s="19">
        <f t="shared" si="6"/>
        <v>0</v>
      </c>
      <c r="I90" s="19">
        <f t="shared" si="7"/>
        <v>0</v>
      </c>
      <c r="O90" s="23" t="e">
        <f>+$I90/N90</f>
        <v>#DIV/0!</v>
      </c>
      <c r="Q90" s="23" t="e">
        <f>+$I90/P90</f>
        <v>#DIV/0!</v>
      </c>
      <c r="U90" s="23" t="e">
        <f t="shared" si="8"/>
        <v>#DIV/0!</v>
      </c>
      <c r="V90" s="23" t="e">
        <f t="shared" si="9"/>
        <v>#DIV/0!</v>
      </c>
      <c r="W90" s="23" t="e">
        <f t="shared" si="10"/>
        <v>#DIV/0!</v>
      </c>
      <c r="AA90" s="24" t="s">
        <v>382</v>
      </c>
    </row>
    <row r="91" spans="1:27" x14ac:dyDescent="0.2">
      <c r="B91" t="s">
        <v>190</v>
      </c>
      <c r="C91" t="s">
        <v>191</v>
      </c>
      <c r="D91" t="s">
        <v>217</v>
      </c>
      <c r="E91" t="s">
        <v>264</v>
      </c>
      <c r="G91" s="19">
        <f t="shared" si="6"/>
        <v>0</v>
      </c>
      <c r="I91" s="19">
        <f t="shared" si="7"/>
        <v>0</v>
      </c>
      <c r="O91" s="23" t="e">
        <f>+$I91/N91</f>
        <v>#DIV/0!</v>
      </c>
      <c r="Q91" s="23" t="e">
        <f>+$I91/P91</f>
        <v>#DIV/0!</v>
      </c>
      <c r="U91" s="23" t="e">
        <f t="shared" si="8"/>
        <v>#DIV/0!</v>
      </c>
      <c r="V91" s="23" t="e">
        <f t="shared" si="9"/>
        <v>#DIV/0!</v>
      </c>
      <c r="W91" s="23" t="e">
        <f t="shared" si="10"/>
        <v>#DIV/0!</v>
      </c>
      <c r="AA91" s="24" t="s">
        <v>383</v>
      </c>
    </row>
    <row r="92" spans="1:27" x14ac:dyDescent="0.2">
      <c r="B92" t="s">
        <v>192</v>
      </c>
      <c r="C92" t="s">
        <v>193</v>
      </c>
      <c r="D92" t="s">
        <v>214</v>
      </c>
      <c r="E92" t="s">
        <v>255</v>
      </c>
      <c r="G92" s="19">
        <f t="shared" si="6"/>
        <v>0</v>
      </c>
      <c r="I92" s="19">
        <f t="shared" si="7"/>
        <v>0</v>
      </c>
      <c r="O92" s="23" t="e">
        <f>+$I92/N92</f>
        <v>#DIV/0!</v>
      </c>
      <c r="Q92" s="23" t="e">
        <f>+$I92/P92</f>
        <v>#DIV/0!</v>
      </c>
      <c r="U92" s="23" t="e">
        <f t="shared" si="8"/>
        <v>#DIV/0!</v>
      </c>
      <c r="V92" s="23" t="e">
        <f t="shared" si="9"/>
        <v>#DIV/0!</v>
      </c>
      <c r="W92" s="23" t="e">
        <f t="shared" si="10"/>
        <v>#DIV/0!</v>
      </c>
      <c r="AA92" s="24" t="s">
        <v>384</v>
      </c>
    </row>
    <row r="93" spans="1:27" x14ac:dyDescent="0.2">
      <c r="B93" t="s">
        <v>194</v>
      </c>
      <c r="C93" t="s">
        <v>195</v>
      </c>
      <c r="D93" t="s">
        <v>214</v>
      </c>
      <c r="E93" t="s">
        <v>236</v>
      </c>
      <c r="G93" s="19">
        <f t="shared" si="6"/>
        <v>0</v>
      </c>
      <c r="I93" s="19">
        <f t="shared" si="7"/>
        <v>0</v>
      </c>
      <c r="O93" s="23" t="e">
        <f>+$I93/N93</f>
        <v>#DIV/0!</v>
      </c>
      <c r="Q93" s="23" t="e">
        <f>+$I93/P93</f>
        <v>#DIV/0!</v>
      </c>
      <c r="U93" s="23" t="e">
        <f t="shared" si="8"/>
        <v>#DIV/0!</v>
      </c>
      <c r="V93" s="23" t="e">
        <f t="shared" si="9"/>
        <v>#DIV/0!</v>
      </c>
      <c r="W93" s="23" t="e">
        <f t="shared" si="10"/>
        <v>#DIV/0!</v>
      </c>
      <c r="AA93" s="24" t="s">
        <v>385</v>
      </c>
    </row>
    <row r="94" spans="1:27" x14ac:dyDescent="0.2">
      <c r="B94" t="s">
        <v>196</v>
      </c>
      <c r="C94" t="s">
        <v>197</v>
      </c>
      <c r="D94" t="s">
        <v>217</v>
      </c>
      <c r="E94" t="s">
        <v>265</v>
      </c>
      <c r="G94" s="19">
        <f t="shared" si="6"/>
        <v>0</v>
      </c>
      <c r="I94" s="19">
        <f t="shared" si="7"/>
        <v>0</v>
      </c>
      <c r="O94" s="23" t="e">
        <f>+$I94/N94</f>
        <v>#DIV/0!</v>
      </c>
      <c r="Q94" s="23" t="e">
        <f>+$I94/P94</f>
        <v>#DIV/0!</v>
      </c>
      <c r="U94" s="23" t="e">
        <f t="shared" si="8"/>
        <v>#DIV/0!</v>
      </c>
      <c r="V94" s="23" t="e">
        <f t="shared" si="9"/>
        <v>#DIV/0!</v>
      </c>
      <c r="W94" s="23" t="e">
        <f t="shared" si="10"/>
        <v>#DIV/0!</v>
      </c>
      <c r="AA94" s="24" t="s">
        <v>386</v>
      </c>
    </row>
    <row r="95" spans="1:27" x14ac:dyDescent="0.2">
      <c r="B95" t="s">
        <v>198</v>
      </c>
      <c r="C95" t="s">
        <v>387</v>
      </c>
      <c r="D95" t="s">
        <v>212</v>
      </c>
      <c r="E95" t="s">
        <v>231</v>
      </c>
      <c r="G95" s="19">
        <f t="shared" si="6"/>
        <v>0</v>
      </c>
      <c r="I95" s="19">
        <f t="shared" si="7"/>
        <v>0</v>
      </c>
      <c r="O95" s="23" t="e">
        <f>+$I95/N95</f>
        <v>#DIV/0!</v>
      </c>
      <c r="Q95" s="23" t="e">
        <f>+$I95/P95</f>
        <v>#DIV/0!</v>
      </c>
      <c r="U95" s="23" t="e">
        <f t="shared" si="8"/>
        <v>#DIV/0!</v>
      </c>
      <c r="V95" s="23" t="e">
        <f t="shared" si="9"/>
        <v>#DIV/0!</v>
      </c>
      <c r="W95" s="23" t="e">
        <f t="shared" si="10"/>
        <v>#DIV/0!</v>
      </c>
      <c r="AA95" s="24" t="s">
        <v>388</v>
      </c>
    </row>
    <row r="96" spans="1:27" x14ac:dyDescent="0.2">
      <c r="B96" t="s">
        <v>199</v>
      </c>
      <c r="C96" t="s">
        <v>200</v>
      </c>
      <c r="D96" t="s">
        <v>245</v>
      </c>
      <c r="E96" t="s">
        <v>241</v>
      </c>
      <c r="G96" s="19">
        <f t="shared" si="6"/>
        <v>0</v>
      </c>
      <c r="I96" s="19">
        <f t="shared" si="7"/>
        <v>0</v>
      </c>
      <c r="O96" s="23" t="e">
        <f>+$I96/N96</f>
        <v>#DIV/0!</v>
      </c>
      <c r="Q96" s="23" t="e">
        <f>+$I96/P96</f>
        <v>#DIV/0!</v>
      </c>
      <c r="U96" s="23" t="e">
        <f t="shared" si="8"/>
        <v>#DIV/0!</v>
      </c>
      <c r="V96" s="23" t="e">
        <f t="shared" si="9"/>
        <v>#DIV/0!</v>
      </c>
      <c r="W96" s="23" t="e">
        <f t="shared" si="10"/>
        <v>#DIV/0!</v>
      </c>
      <c r="AA96" s="24" t="s">
        <v>389</v>
      </c>
    </row>
    <row r="97" spans="1:27" x14ac:dyDescent="0.2">
      <c r="B97" t="s">
        <v>201</v>
      </c>
      <c r="C97" t="s">
        <v>202</v>
      </c>
      <c r="D97" t="s">
        <v>215</v>
      </c>
      <c r="E97" t="s">
        <v>240</v>
      </c>
      <c r="G97" s="19">
        <f t="shared" si="6"/>
        <v>0</v>
      </c>
      <c r="I97" s="19">
        <f t="shared" si="7"/>
        <v>0</v>
      </c>
      <c r="O97" s="23" t="e">
        <f>+$I97/N97</f>
        <v>#DIV/0!</v>
      </c>
      <c r="Q97" s="23" t="e">
        <f>+$I97/P97</f>
        <v>#DIV/0!</v>
      </c>
      <c r="U97" s="23" t="e">
        <f t="shared" si="8"/>
        <v>#DIV/0!</v>
      </c>
      <c r="V97" s="23" t="e">
        <f t="shared" si="9"/>
        <v>#DIV/0!</v>
      </c>
      <c r="W97" s="23" t="e">
        <f t="shared" si="10"/>
        <v>#DIV/0!</v>
      </c>
      <c r="AA97" s="24" t="s">
        <v>390</v>
      </c>
    </row>
    <row r="98" spans="1:27" x14ac:dyDescent="0.2">
      <c r="B98" t="s">
        <v>203</v>
      </c>
      <c r="C98" t="s">
        <v>204</v>
      </c>
      <c r="D98" t="s">
        <v>245</v>
      </c>
      <c r="E98" t="s">
        <v>241</v>
      </c>
      <c r="G98" s="19">
        <f t="shared" si="6"/>
        <v>0</v>
      </c>
      <c r="I98" s="19">
        <f t="shared" si="7"/>
        <v>0</v>
      </c>
      <c r="O98" s="23" t="e">
        <f>+$I98/N98</f>
        <v>#DIV/0!</v>
      </c>
      <c r="Q98" s="23" t="e">
        <f>+$I98/P98</f>
        <v>#DIV/0!</v>
      </c>
      <c r="U98" s="23" t="e">
        <f t="shared" si="8"/>
        <v>#DIV/0!</v>
      </c>
      <c r="V98" s="23" t="e">
        <f t="shared" si="9"/>
        <v>#DIV/0!</v>
      </c>
      <c r="W98" s="23" t="e">
        <f t="shared" si="10"/>
        <v>#DIV/0!</v>
      </c>
      <c r="AA98" s="24" t="s">
        <v>391</v>
      </c>
    </row>
    <row r="99" spans="1:27" x14ac:dyDescent="0.2">
      <c r="A99" s="29"/>
      <c r="B99" s="9" t="s">
        <v>205</v>
      </c>
      <c r="C99" s="25" t="s">
        <v>206</v>
      </c>
      <c r="D99" t="s">
        <v>245</v>
      </c>
      <c r="E99" t="s">
        <v>246</v>
      </c>
      <c r="F99" s="18">
        <v>137.46</v>
      </c>
      <c r="G99" s="19">
        <f t="shared" ref="G99:G101" si="11">+F99*J99</f>
        <v>111678.11910354</v>
      </c>
      <c r="H99" s="19">
        <f>+[19]Main!$L$5-[19]Main!$L$6</f>
        <v>4639</v>
      </c>
      <c r="I99" s="19">
        <f t="shared" ref="I99:I101" si="12">+G99-H99</f>
        <v>107039.11910354</v>
      </c>
      <c r="J99" s="19">
        <f>+[19]Main!$L$3</f>
        <v>812.44084899999996</v>
      </c>
      <c r="K99" s="21">
        <v>45768</v>
      </c>
      <c r="L99" s="20" t="s">
        <v>271</v>
      </c>
      <c r="M99" s="22">
        <v>0.02</v>
      </c>
      <c r="N99" s="19">
        <f>+SUM([19]Model!$P$83:$S$83)</f>
        <v>5935</v>
      </c>
      <c r="O99" s="23">
        <f>+$I99/N99</f>
        <v>18.035234895288962</v>
      </c>
      <c r="P99" s="19">
        <f>+SUM([19]Model!$P$28:$S$28)</f>
        <v>6343</v>
      </c>
      <c r="Q99" s="23">
        <f>+$I99/P99</f>
        <v>16.875156724505754</v>
      </c>
      <c r="R99" s="19">
        <f>+[19]Model!AH$28</f>
        <v>7177</v>
      </c>
      <c r="U99" s="23">
        <f t="shared" ref="U99:U101" si="13">+$I99/R99</f>
        <v>14.914186861298592</v>
      </c>
      <c r="V99" s="23" t="e">
        <f t="shared" ref="V99:V101" si="14">+$I99/S99</f>
        <v>#DIV/0!</v>
      </c>
      <c r="W99" s="23" t="e">
        <f t="shared" ref="W99:W101" si="15">+$I99/T99</f>
        <v>#DIV/0!</v>
      </c>
      <c r="X99" s="22">
        <v>0.34</v>
      </c>
      <c r="Y99" s="20">
        <v>1967</v>
      </c>
      <c r="Z99" s="8" t="s">
        <v>281</v>
      </c>
      <c r="AA99" s="24" t="s">
        <v>392</v>
      </c>
    </row>
    <row r="100" spans="1:27" x14ac:dyDescent="0.2">
      <c r="B100" t="s">
        <v>207</v>
      </c>
      <c r="C100" t="s">
        <v>259</v>
      </c>
      <c r="D100" t="s">
        <v>215</v>
      </c>
      <c r="E100" t="s">
        <v>258</v>
      </c>
      <c r="G100" s="19">
        <f t="shared" si="11"/>
        <v>0</v>
      </c>
      <c r="I100" s="19">
        <f t="shared" si="12"/>
        <v>0</v>
      </c>
      <c r="O100" s="23" t="e">
        <f>+$I100/N100</f>
        <v>#DIV/0!</v>
      </c>
      <c r="Q100" s="23" t="e">
        <f>+$I100/P100</f>
        <v>#DIV/0!</v>
      </c>
      <c r="U100" s="23" t="e">
        <f t="shared" si="13"/>
        <v>#DIV/0!</v>
      </c>
      <c r="V100" s="23" t="e">
        <f t="shared" si="14"/>
        <v>#DIV/0!</v>
      </c>
      <c r="W100" s="23" t="e">
        <f t="shared" si="15"/>
        <v>#DIV/0!</v>
      </c>
      <c r="AA100" s="24" t="s">
        <v>393</v>
      </c>
    </row>
    <row r="101" spans="1:27" x14ac:dyDescent="0.2">
      <c r="B101" t="s">
        <v>208</v>
      </c>
      <c r="C101" t="s">
        <v>209</v>
      </c>
      <c r="D101" t="s">
        <v>268</v>
      </c>
      <c r="E101" t="s">
        <v>269</v>
      </c>
      <c r="G101" s="19">
        <f t="shared" si="11"/>
        <v>0</v>
      </c>
      <c r="I101" s="19">
        <f t="shared" si="12"/>
        <v>0</v>
      </c>
      <c r="O101" s="23" t="e">
        <f>+$I101/N101</f>
        <v>#DIV/0!</v>
      </c>
      <c r="Q101" s="23" t="e">
        <f>+$I101/P101</f>
        <v>#DIV/0!</v>
      </c>
      <c r="U101" s="23" t="e">
        <f t="shared" si="13"/>
        <v>#DIV/0!</v>
      </c>
      <c r="V101" s="23" t="e">
        <f t="shared" si="14"/>
        <v>#DIV/0!</v>
      </c>
      <c r="W101" s="23" t="e">
        <f t="shared" si="15"/>
        <v>#DIV/0!</v>
      </c>
      <c r="AA101" s="24" t="s">
        <v>394</v>
      </c>
    </row>
  </sheetData>
  <hyperlinks>
    <hyperlink ref="C3" r:id="rId1" xr:uid="{97D6DD71-4CA9-4B1F-8D53-6E2450558B52}"/>
    <hyperlink ref="C4" r:id="rId2" xr:uid="{2D38058A-0980-4443-A766-0433FC8A22F1}"/>
    <hyperlink ref="C5" r:id="rId3" xr:uid="{E4085399-3A6A-423E-9960-405880619D3B}"/>
    <hyperlink ref="C6" r:id="rId4" xr:uid="{8D41E6DD-5120-497F-A844-3ACB069B14D6}"/>
    <hyperlink ref="C7" r:id="rId5" xr:uid="{2AF16B8A-5FAA-4271-B101-8656207145D5}"/>
    <hyperlink ref="C8" r:id="rId6" xr:uid="{0901E425-08A8-4C06-866B-82658F2EC59F}"/>
    <hyperlink ref="C10" r:id="rId7" xr:uid="{632AF896-C616-4F62-95D5-13959A3A9140}"/>
    <hyperlink ref="C11" r:id="rId8" xr:uid="{0E49EA1A-8294-453D-AABC-A862B6E9F30B}"/>
    <hyperlink ref="C12" r:id="rId9" xr:uid="{4E1D3CEB-FB8C-4A88-834C-5ABD12F82D15}"/>
    <hyperlink ref="C13" r:id="rId10" xr:uid="{FDAF4BD8-465D-4A51-A7E0-54A91FB4A266}"/>
    <hyperlink ref="C16" r:id="rId11" xr:uid="{3A93F3E9-4CF9-4E67-A393-52294C382D84}"/>
    <hyperlink ref="C18" r:id="rId12" xr:uid="{369ED853-E43B-4E16-BCCF-A2F24256B632}"/>
    <hyperlink ref="C20" r:id="rId13" xr:uid="{4C4407ED-685A-4D2D-8419-8E4CB2337B46}"/>
    <hyperlink ref="C28" r:id="rId14" xr:uid="{4F3CA6F0-DFC3-4379-B593-E74CA13699FA}"/>
    <hyperlink ref="C34" r:id="rId15" xr:uid="{CA0CF348-9EDE-44C4-9093-E008A09D309C}"/>
    <hyperlink ref="C36" r:id="rId16" xr:uid="{DFDADEA8-3AA5-43AE-A43C-FBEDFFB571F7}"/>
    <hyperlink ref="C40" r:id="rId17" xr:uid="{3C4C78B2-AA0E-468D-9480-9EC46557F528}"/>
    <hyperlink ref="C41" r:id="rId18" xr:uid="{7B6C5ABA-88A8-4774-A252-30A7C6C7A087}"/>
    <hyperlink ref="C53" r:id="rId19" xr:uid="{96D35F3C-5DAA-490B-8314-2AE7D3833007}"/>
    <hyperlink ref="C59" r:id="rId20" xr:uid="{211E5A77-B9C6-4CEE-BE9A-21CA61C832C2}"/>
    <hyperlink ref="C17" r:id="rId21" xr:uid="{2E317B38-7FB2-4352-93EE-B64BB52B7B17}"/>
    <hyperlink ref="C68" r:id="rId22" xr:uid="{043455BA-0FB1-44E3-84A0-A1FC380C06BD}"/>
    <hyperlink ref="C69" r:id="rId23" xr:uid="{09E8C9AB-0493-487D-8E60-1453DC518DFB}"/>
    <hyperlink ref="C71" r:id="rId24" xr:uid="{20908727-B2E1-49F1-83BC-A9C4242B2904}"/>
    <hyperlink ref="C72" r:id="rId25" xr:uid="{C654EB5D-E0C7-4DB2-AC0E-2750ACE61AD7}"/>
    <hyperlink ref="C73" r:id="rId26" xr:uid="{9589C6F7-A9A1-4F89-AA7D-AA1D7D6D7B64}"/>
    <hyperlink ref="C76" r:id="rId27" xr:uid="{39403E8C-22E7-49B6-86A0-E5CA01EBD193}"/>
    <hyperlink ref="C82" r:id="rId28" xr:uid="{4296F697-9903-4B2A-AC70-9D422C204B3F}"/>
    <hyperlink ref="B3" r:id="rId29" xr:uid="{62E2AFDA-D62C-4091-81E6-D40CF73FFC00}"/>
    <hyperlink ref="B4" r:id="rId30" xr:uid="{75505841-64D1-4604-B5B0-E53F763AAC95}"/>
    <hyperlink ref="B5" r:id="rId31" xr:uid="{1D749DD7-AA59-40D6-8D33-9F150DAF750A}"/>
    <hyperlink ref="B6" r:id="rId32" xr:uid="{457C408A-0B73-436A-AA29-2FD395FDFC1C}"/>
    <hyperlink ref="B7" r:id="rId33" xr:uid="{25CD3A36-94EA-403F-AE14-BEE4EB42953C}"/>
    <hyperlink ref="B8" r:id="rId34" xr:uid="{51453238-191C-4826-9321-EBFE6C41A057}"/>
    <hyperlink ref="B9" r:id="rId35" xr:uid="{3E216EC7-26AE-4C4D-9CD1-8A2706B14AC0}"/>
    <hyperlink ref="B10" r:id="rId36" xr:uid="{AB85BCED-BBB2-4FC7-8D64-76C1E230A038}"/>
    <hyperlink ref="B11" r:id="rId37" xr:uid="{17039F6F-CD98-4A71-8449-EC8A54FBE30A}"/>
    <hyperlink ref="B13" r:id="rId38" xr:uid="{B4ED2939-FFD0-47DA-BC28-DF65F4A72A67}"/>
    <hyperlink ref="B14" r:id="rId39" xr:uid="{369C27F6-50D0-413B-A6D7-3E3F812716A6}"/>
    <hyperlink ref="B15" r:id="rId40" xr:uid="{27BDC167-59C2-4E93-836A-E433E09FD499}"/>
    <hyperlink ref="B16" r:id="rId41" xr:uid="{4AD5DFE2-E335-4147-B545-F756ACD1E9E0}"/>
    <hyperlink ref="B17" r:id="rId42" xr:uid="{389A5856-3728-4270-B475-5038C40C1C73}"/>
    <hyperlink ref="B18" r:id="rId43" xr:uid="{55100A18-951B-41A7-A9F5-9F1880037B97}"/>
    <hyperlink ref="B19" r:id="rId44" xr:uid="{5B4E3B28-E14B-4CA2-B6C4-BD87095FA98A}"/>
    <hyperlink ref="B20" r:id="rId45" xr:uid="{7E1833C6-725C-4491-94D8-D922E241F90C}"/>
    <hyperlink ref="B21" r:id="rId46" xr:uid="{F1003DCE-B429-49B1-A786-2CEC50A68D4C}"/>
    <hyperlink ref="B23" r:id="rId47" xr:uid="{DC3EB2DC-6E3F-41D9-9774-EA520BFA1C41}"/>
    <hyperlink ref="B24" r:id="rId48" xr:uid="{8FF571B8-B8D5-4F2D-A6B9-57DB49FDCF73}"/>
    <hyperlink ref="B25" r:id="rId49" xr:uid="{DFCD3505-1C6F-40E1-B248-3213776B5743}"/>
    <hyperlink ref="B27" r:id="rId50" xr:uid="{97699E4C-D7D9-49A6-AD3C-8351C066AC58}"/>
    <hyperlink ref="B28" r:id="rId51" xr:uid="{0F2DE794-06DF-4C30-8D5E-7A1909515F76}"/>
    <hyperlink ref="B29" r:id="rId52" xr:uid="{3039C04A-DA81-4B76-B20F-D355AF6A5988}"/>
    <hyperlink ref="B31" r:id="rId53" xr:uid="{6ADF9979-04BB-4CD3-9650-54E204BFEA1F}"/>
    <hyperlink ref="B35" r:id="rId54" xr:uid="{FA4D1B21-291A-4FEF-BC02-6F1D2593B636}"/>
    <hyperlink ref="B36" r:id="rId55" xr:uid="{FA76C6A7-CBE2-4F4D-BF27-A1BA8043FD91}"/>
    <hyperlink ref="B37" r:id="rId56" xr:uid="{F42193AC-D07E-4972-B72B-B7EFBF5E257E}"/>
    <hyperlink ref="B38" r:id="rId57" xr:uid="{EF4C639D-8986-474B-827A-077EFC1F01BF}"/>
    <hyperlink ref="B39" r:id="rId58" xr:uid="{97782ED8-05DC-4341-AC43-3BBD3E73C61B}"/>
    <hyperlink ref="B40" r:id="rId59" xr:uid="{DE313AE1-B19B-48E8-AED8-30CE64B9F143}"/>
    <hyperlink ref="B41" r:id="rId60" xr:uid="{3DE503D1-DAB9-4921-B955-9BEB8E36D3E9}"/>
    <hyperlink ref="B42" r:id="rId61" xr:uid="{702D6F0D-3B55-4615-9467-613923031C02}"/>
    <hyperlink ref="B43" r:id="rId62" xr:uid="{375B379A-F257-4DEA-A887-3A9D0E7AB3A9}"/>
    <hyperlink ref="B45" r:id="rId63" xr:uid="{B4781A96-F900-45A0-8B60-D444E900FF84}"/>
    <hyperlink ref="B46" r:id="rId64" xr:uid="{340B7AAC-D8DB-4E94-BF21-87617E3BAB51}"/>
    <hyperlink ref="B47" r:id="rId65" xr:uid="{B9EA7F34-5D59-4D50-A38B-586A309C2375}"/>
    <hyperlink ref="B48" r:id="rId66" xr:uid="{E342EA70-91C6-4BE9-BAF5-C36DD029479B}"/>
    <hyperlink ref="B49" r:id="rId67" xr:uid="{B0E0252B-0914-4D65-9897-708A1A7C74F1}"/>
    <hyperlink ref="B50" r:id="rId68" xr:uid="{999E6C90-7C74-437D-96E8-BDD7E81148B9}"/>
    <hyperlink ref="AA3" r:id="rId69" xr:uid="{C247DA26-AD28-408B-9F3F-9BCDB5A1128C}"/>
    <hyperlink ref="AA4" r:id="rId70" xr:uid="{78E5A541-D18E-4DEA-8D63-4709C0B2CBDB}"/>
    <hyperlink ref="AA5" r:id="rId71" xr:uid="{F1DB2107-7897-431A-9CF4-EE21B6F38C0A}"/>
    <hyperlink ref="AA6" r:id="rId72" xr:uid="{C43ABA7F-4F16-44AB-A8FF-C68AB2CB28B0}"/>
    <hyperlink ref="AA7" r:id="rId73" xr:uid="{78DF2AF1-D297-4FBE-AE97-33D407EDFA28}"/>
    <hyperlink ref="AA8" r:id="rId74" xr:uid="{6FEB26BF-86DD-40DD-8FA5-88EB3EA9E3F7}"/>
    <hyperlink ref="AA9" r:id="rId75" xr:uid="{82CF0F2C-9526-4FF1-980B-D1F310C20AFD}"/>
    <hyperlink ref="AA10" r:id="rId76" xr:uid="{C22B0388-77C2-4C6B-BCF6-B83DCB14A09C}"/>
    <hyperlink ref="AA11" r:id="rId77" location="quarterly-disclosure" xr:uid="{30764FFE-5416-472F-A741-D040ABE826B6}"/>
    <hyperlink ref="AA12" r:id="rId78" xr:uid="{95A86E54-7668-4A6D-8575-0223B099BD87}"/>
    <hyperlink ref="AA13" r:id="rId79" xr:uid="{20D75882-3B0A-416E-BCFD-7DCC72575D67}"/>
    <hyperlink ref="AA14" r:id="rId80" xr:uid="{55F39E94-A845-4BAF-BEAF-1FD401460541}"/>
    <hyperlink ref="AA15" r:id="rId81" xr:uid="{7466CE15-EF0F-4E82-8A82-829B7BE27067}"/>
    <hyperlink ref="AA16" r:id="rId82" xr:uid="{2231D2E3-5ACB-482D-932A-EDA5F3684EF5}"/>
    <hyperlink ref="AA17" r:id="rId83" xr:uid="{47D5DDDF-0D54-4734-8F62-67AE8AAB0FC4}"/>
    <hyperlink ref="AA18" r:id="rId84" xr:uid="{450A6419-59FF-4EDD-8A7B-29C939576403}"/>
    <hyperlink ref="AA19" r:id="rId85" xr:uid="{923C46AF-3F12-45F8-99E3-A7C53B7555F9}"/>
    <hyperlink ref="AA20" r:id="rId86" xr:uid="{04306011-3AF7-40BB-A543-3B88F8CD4273}"/>
    <hyperlink ref="AA21" r:id="rId87" xr:uid="{13585172-9452-4F83-985F-BE2048547DF7}"/>
    <hyperlink ref="AA22" r:id="rId88" xr:uid="{480F7C4B-395F-4210-8B57-4A397C367DD0}"/>
    <hyperlink ref="AA23" r:id="rId89" xr:uid="{D8F317E7-FCAA-4CD4-8ADC-3BDE97D923BE}"/>
    <hyperlink ref="AA24" r:id="rId90" xr:uid="{74582E27-58EF-45E6-A725-F31DE9B67C99}"/>
    <hyperlink ref="AA25" r:id="rId91" xr:uid="{052F2C03-BCEF-4C56-AB76-D82AC84AF682}"/>
    <hyperlink ref="AA26" r:id="rId92" xr:uid="{A6F19E08-B830-448B-84C5-604BAB2E4F89}"/>
    <hyperlink ref="AA27" r:id="rId93" xr:uid="{97D55242-D375-43FF-96C3-F3974FF92ADA}"/>
    <hyperlink ref="AA28" r:id="rId94" xr:uid="{3291CA2D-05B3-4F7A-BCE2-1FAA760814C6}"/>
    <hyperlink ref="AA29" r:id="rId95" xr:uid="{55FE58B9-F666-47BF-94D9-24A3DC6AA2A0}"/>
    <hyperlink ref="AA30" r:id="rId96" xr:uid="{B0D80A9B-A805-426B-B12E-A54AFB644F8D}"/>
    <hyperlink ref="AA31" r:id="rId97" xr:uid="{133E0623-4C29-4627-B434-E81AE165FE62}"/>
    <hyperlink ref="AA32" r:id="rId98" xr:uid="{A52C29A7-42A4-45F8-84AE-D97A395C5213}"/>
    <hyperlink ref="AA33" r:id="rId99" xr:uid="{9A725468-CE4E-45F3-AA73-6D7D8A663126}"/>
    <hyperlink ref="AA34" r:id="rId100" xr:uid="{63844683-A1B0-47AD-8CC7-5867E19F6FE2}"/>
    <hyperlink ref="AA35" r:id="rId101" xr:uid="{35522553-B1E6-4E31-A20E-8E77E17E5F67}"/>
    <hyperlink ref="AA36" r:id="rId102" xr:uid="{1F7AAF71-2A5D-46CC-B327-8209E2F2D3F7}"/>
    <hyperlink ref="AA37" r:id="rId103" xr:uid="{2DC845ED-FB5F-419C-9FD8-3A81925A93EA}"/>
    <hyperlink ref="AA38" r:id="rId104" xr:uid="{9AFE7243-827D-4C23-B68A-6E50E5A0EE68}"/>
    <hyperlink ref="AA39" r:id="rId105" xr:uid="{1CF3B654-5F12-4B9E-AE11-D911AA0CC029}"/>
    <hyperlink ref="AA40" r:id="rId106" xr:uid="{A675EF6B-04A6-44CC-A791-35EB3A15B513}"/>
    <hyperlink ref="AA41" r:id="rId107" xr:uid="{B9B5B737-AC2F-4B88-9A28-0570A8C0DFD8}"/>
    <hyperlink ref="AA42" r:id="rId108" xr:uid="{67683E0A-6CF3-4E81-9F3D-534F4B887453}"/>
    <hyperlink ref="AA43" r:id="rId109" xr:uid="{795344F5-9B4B-46CA-B47F-91ECBEA38A06}"/>
    <hyperlink ref="AA44" r:id="rId110" xr:uid="{BFD7EA34-0A73-41F1-BCB1-A45193B985D5}"/>
    <hyperlink ref="AA45" r:id="rId111" xr:uid="{01A92EE3-B94C-4FA2-B383-0742E2D79EE6}"/>
    <hyperlink ref="AA46" r:id="rId112" xr:uid="{2D7F6CCE-F41A-45C4-800A-11120B10A3D5}"/>
    <hyperlink ref="AA47" r:id="rId113" xr:uid="{DAFD99E8-F32F-4B9D-BD93-F909FF0054B2}"/>
    <hyperlink ref="AA48" r:id="rId114" xr:uid="{8E9F9C8B-2854-416B-88B4-452C3B7437F1}"/>
    <hyperlink ref="AA49" r:id="rId115" xr:uid="{CB78E677-9BEA-4299-BB61-D5888DF80459}"/>
    <hyperlink ref="AA50" r:id="rId116" xr:uid="{6BE4778E-DDB9-421C-B928-E737259EBED1}"/>
    <hyperlink ref="AA51" r:id="rId117" xr:uid="{3AE5954E-4EAF-474D-80F5-5B08B501551D}"/>
    <hyperlink ref="AA52" r:id="rId118" xr:uid="{658FE5BE-C471-496F-8886-9E8BA3198952}"/>
    <hyperlink ref="A1" location="Main!A1" display="Main" xr:uid="{7AA9D8DB-E3F7-4629-858E-C9C1AF0871B5}"/>
    <hyperlink ref="AA53" r:id="rId119" xr:uid="{6A85BAAA-3085-427F-A2B8-16695FCAA92A}"/>
    <hyperlink ref="AA54" r:id="rId120" xr:uid="{232793EC-D73C-4D22-AFF7-B708E2C40F15}"/>
    <hyperlink ref="AA55" r:id="rId121" xr:uid="{E5EA98E6-A0E8-4585-AF6D-A84DF62EFE51}"/>
    <hyperlink ref="AA56" r:id="rId122" xr:uid="{A54308C2-D3AF-44E5-8059-DE9F93E0B570}"/>
    <hyperlink ref="AA57" r:id="rId123" xr:uid="{E454E8FE-235A-498B-A6BB-1D62EAD2C8CA}"/>
    <hyperlink ref="AA58" r:id="rId124" xr:uid="{F267BD0D-5C91-4308-AD2B-228FF3207949}"/>
    <hyperlink ref="AA59" r:id="rId125" xr:uid="{239638E6-77CB-4368-BD9B-86E3061BDBE8}"/>
    <hyperlink ref="AA60" r:id="rId126" xr:uid="{2092E834-F17C-4C75-B0F7-2B8187962221}"/>
    <hyperlink ref="AA61" r:id="rId127" xr:uid="{F1832105-8667-498E-A437-206CC2C7DF8A}"/>
    <hyperlink ref="AA62" r:id="rId128" xr:uid="{CBE4D9AB-60F8-4B50-93C1-C510CF7214A7}"/>
    <hyperlink ref="AA63" r:id="rId129" xr:uid="{3B8FBB71-0BDD-4494-B03B-85C1F2AC4ED4}"/>
    <hyperlink ref="AA64" r:id="rId130" xr:uid="{0C2836E0-57E5-44CC-B018-344C84A70425}"/>
    <hyperlink ref="AA65" r:id="rId131" xr:uid="{05EF7E5D-B902-4282-8097-839757C9395A}"/>
    <hyperlink ref="AA66" r:id="rId132" xr:uid="{9C27D986-E49C-493C-948A-346668F93DF0}"/>
    <hyperlink ref="AA67" r:id="rId133" xr:uid="{E97345E8-3C76-46E5-8F20-21AEBDA17A6D}"/>
    <hyperlink ref="AA68" r:id="rId134" xr:uid="{B9437228-97ED-4712-88F1-BDD1052E2E96}"/>
    <hyperlink ref="AA69" r:id="rId135" xr:uid="{ADDE1BD6-9D70-4466-AE8B-B540D86FED1B}"/>
    <hyperlink ref="AA70" r:id="rId136" xr:uid="{338CB1A9-03BF-49B2-83FB-7DE0A06E8E09}"/>
    <hyperlink ref="AA71" r:id="rId137" xr:uid="{1053192A-CE51-4E64-90D2-21A11FC86620}"/>
    <hyperlink ref="AA72" r:id="rId138" xr:uid="{6886CF6E-A04C-453B-B6FD-6BC401110A8A}"/>
    <hyperlink ref="AA73" r:id="rId139" xr:uid="{D20D209B-61BA-4BAD-99F3-4BA0103B1AC5}"/>
    <hyperlink ref="AA74" r:id="rId140" xr:uid="{E143EA24-E9AE-4E9D-84E0-F0FDB99648C7}"/>
    <hyperlink ref="AA75" r:id="rId141" xr:uid="{E3DB0CB3-C65A-4610-8BA8-D262009E1BB9}"/>
    <hyperlink ref="AA76" r:id="rId142" xr:uid="{281CB98B-FC3A-4C3E-8BB0-07DF2D1BAD85}"/>
    <hyperlink ref="AA77" r:id="rId143" xr:uid="{ADE2D34F-80A2-48D4-B139-45549D629F86}"/>
    <hyperlink ref="AA78" r:id="rId144" xr:uid="{9AA1D843-E336-46D1-8C1B-7A474F701657}"/>
    <hyperlink ref="AA79" r:id="rId145" xr:uid="{AD32E403-FE6F-4E90-B596-3C2AA450EE6C}"/>
    <hyperlink ref="AA80" r:id="rId146" xr:uid="{624A7F2C-D9F9-47EA-B403-1807E8F05A41}"/>
    <hyperlink ref="AA81" r:id="rId147" xr:uid="{5DAFB588-5E94-4EB8-95F1-5F71F0959D28}"/>
    <hyperlink ref="AA82" r:id="rId148" xr:uid="{DD29D76C-D9D2-4A55-8413-4943B71F9B92}"/>
    <hyperlink ref="AA83" r:id="rId149" xr:uid="{A2043C0C-1EA6-4C67-ACBD-4AAD2F6005BC}"/>
    <hyperlink ref="AA84" r:id="rId150" xr:uid="{BA1BA756-51DF-44C5-A4B3-CF21BB030C14}"/>
    <hyperlink ref="AA85" r:id="rId151" xr:uid="{500A66BB-899C-427B-967C-C342AD8D959A}"/>
    <hyperlink ref="AA86" r:id="rId152" xr:uid="{5B1304C0-15EF-48A8-A8DA-E13FE8802237}"/>
    <hyperlink ref="AA87" r:id="rId153" xr:uid="{1C0CD438-80A7-457C-BCC2-68A92DECE4C3}"/>
    <hyperlink ref="AA88" r:id="rId154" xr:uid="{83B1A88A-CC4E-4844-AE36-1C471EEA76BB}"/>
    <hyperlink ref="AA89" r:id="rId155" xr:uid="{1DD8354D-F671-439B-AE8D-E238939D27A6}"/>
    <hyperlink ref="AA90" r:id="rId156" xr:uid="{05842FD9-350A-4280-876F-3E8AA20C4844}"/>
    <hyperlink ref="AA91" r:id="rId157" xr:uid="{729901CC-5A43-4E5F-B2DC-E5AF9F65061F}"/>
    <hyperlink ref="AA92" r:id="rId158" xr:uid="{F49CC15C-AA29-41FD-BF78-4DED4719C80C}"/>
    <hyperlink ref="AA93" r:id="rId159" xr:uid="{05F33A04-C6CD-420F-A1F2-F78CDAF3512A}"/>
    <hyperlink ref="AA94" r:id="rId160" xr:uid="{461DB5C0-1A70-4A59-8C6C-B70CBA7689CB}"/>
    <hyperlink ref="AA95" r:id="rId161" xr:uid="{9D46A422-CBC9-4EAE-8334-459BFAE04149}"/>
    <hyperlink ref="AA96" r:id="rId162" xr:uid="{E517BE0B-293F-4034-A564-460D8C305D73}"/>
    <hyperlink ref="AA97" r:id="rId163" xr:uid="{944CDC04-D10E-4480-8464-693EAA67C3C6}"/>
    <hyperlink ref="AA98" r:id="rId164" xr:uid="{E5361AD5-616A-44AC-A75E-97B2EF899BDE}"/>
    <hyperlink ref="AA99" r:id="rId165" xr:uid="{CDC9D111-5792-4228-8B01-373AE95E2CFC}"/>
    <hyperlink ref="AA100" r:id="rId166" xr:uid="{F371AD04-5880-49A4-ADA8-2D4A667670B6}"/>
    <hyperlink ref="AA101" r:id="rId167" xr:uid="{534D45E4-209A-420E-9FD6-F3C8865A247B}"/>
    <hyperlink ref="B52" r:id="rId168" xr:uid="{B7C203F1-211E-4970-B924-7FBD5C4D10D6}"/>
    <hyperlink ref="B53" r:id="rId169" xr:uid="{358B4560-B836-481D-8D91-087EAA1C5A3D}"/>
    <hyperlink ref="B54" r:id="rId170" xr:uid="{E9CA0473-319D-4C5B-8F18-30D74E12F46D}"/>
    <hyperlink ref="C21" r:id="rId171" xr:uid="{CE568B7E-6B3C-457F-9990-C85C5BD62706}"/>
    <hyperlink ref="C99" r:id="rId172" xr:uid="{C1E57E97-5820-498F-BA92-FE3B6DCF8110}"/>
    <hyperlink ref="B99" r:id="rId173" xr:uid="{222380F2-CDC9-4380-8564-CB4C231982C9}"/>
    <hyperlink ref="C23" r:id="rId174" xr:uid="{6E62DCF6-6439-4E2D-BF79-7C67CBE29211}"/>
  </hyperlinks>
  <pageMargins left="0.7" right="0.7" top="0.75" bottom="0.75" header="0.3" footer="0.3"/>
  <legacyDrawing r:id="rId1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Marketcap &gt;=100B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</dc:creator>
  <cp:lastModifiedBy>Fidel</cp:lastModifiedBy>
  <dcterms:created xsi:type="dcterms:W3CDTF">2025-04-15T13:09:22Z</dcterms:created>
  <dcterms:modified xsi:type="dcterms:W3CDTF">2025-04-21T15:38:42Z</dcterms:modified>
</cp:coreProperties>
</file>