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Main\Information Technology\"/>
    </mc:Choice>
  </mc:AlternateContent>
  <xr:revisionPtr revIDLastSave="0" documentId="13_ncr:1_{B4AD31E0-04D2-45AE-A3C5-AF51437ACB12}" xr6:coauthVersionLast="47" xr6:coauthVersionMax="47" xr10:uidLastSave="{00000000-0000-0000-0000-000000000000}"/>
  <bookViews>
    <workbookView xWindow="14445" yWindow="60" windowWidth="14235" windowHeight="15495" activeTab="1" xr2:uid="{DC924D12-6B22-4DD5-9944-0112C1059003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6" i="1"/>
  <c r="L5" i="1"/>
  <c r="L3" i="1"/>
  <c r="S83" i="2"/>
  <c r="S84" i="2" s="1"/>
  <c r="S68" i="2"/>
  <c r="S75" i="2"/>
  <c r="S70" i="2"/>
  <c r="S62" i="2"/>
  <c r="S63" i="2" s="1"/>
  <c r="S49" i="2"/>
  <c r="S42" i="2"/>
  <c r="S41" i="2"/>
  <c r="S31" i="2"/>
  <c r="S38" i="2" s="1"/>
  <c r="S35" i="2"/>
  <c r="S29" i="2"/>
  <c r="S45" i="2"/>
  <c r="S47" i="2" s="1"/>
  <c r="S28" i="2"/>
  <c r="S12" i="2"/>
  <c r="S7" i="2"/>
  <c r="S8" i="2" s="1"/>
  <c r="S4" i="2"/>
  <c r="AD16" i="2"/>
  <c r="AD14" i="2"/>
  <c r="AD19" i="2"/>
  <c r="AD11" i="2"/>
  <c r="AD10" i="2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D9" i="2"/>
  <c r="AD6" i="2"/>
  <c r="AD5" i="2"/>
  <c r="AD3" i="2"/>
  <c r="AD2" i="2"/>
  <c r="R75" i="2"/>
  <c r="R68" i="2"/>
  <c r="R70" i="2" s="1"/>
  <c r="R62" i="2"/>
  <c r="R63" i="2" s="1"/>
  <c r="R80" i="2" s="1"/>
  <c r="R83" i="2" s="1"/>
  <c r="R42" i="2"/>
  <c r="R41" i="2"/>
  <c r="R35" i="2"/>
  <c r="R31" i="2"/>
  <c r="R29" i="2"/>
  <c r="R28" i="2" s="1"/>
  <c r="R27" i="2" s="1"/>
  <c r="AW25" i="2"/>
  <c r="R12" i="2"/>
  <c r="R7" i="2"/>
  <c r="R4" i="2"/>
  <c r="V4" i="2" s="1"/>
  <c r="V26" i="2" s="1"/>
  <c r="S80" i="2" l="1"/>
  <c r="S81" i="2" s="1"/>
  <c r="S78" i="2"/>
  <c r="S13" i="2"/>
  <c r="S21" i="2"/>
  <c r="AD12" i="2"/>
  <c r="AD4" i="2"/>
  <c r="AD7" i="2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R45" i="2"/>
  <c r="R47" i="2" s="1"/>
  <c r="R78" i="2"/>
  <c r="R38" i="2"/>
  <c r="R8" i="2"/>
  <c r="AE11" i="2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E9" i="2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W28" i="2"/>
  <c r="AD63" i="2"/>
  <c r="AB80" i="2"/>
  <c r="AB83" i="2" s="1"/>
  <c r="AA80" i="2"/>
  <c r="AA83" i="2" s="1"/>
  <c r="Z80" i="2"/>
  <c r="Y80" i="2"/>
  <c r="X80" i="2"/>
  <c r="AC80" i="2"/>
  <c r="AC83" i="2" s="1"/>
  <c r="S15" i="2" l="1"/>
  <c r="S22" i="2"/>
  <c r="AE4" i="2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S4" i="2" s="1"/>
  <c r="AT4" i="2" s="1"/>
  <c r="AT26" i="2" s="1"/>
  <c r="AD8" i="2"/>
  <c r="AD13" i="2" s="1"/>
  <c r="AT12" i="2"/>
  <c r="AE63" i="2"/>
  <c r="AD80" i="2"/>
  <c r="AD83" i="2" s="1"/>
  <c r="R21" i="2"/>
  <c r="R13" i="2"/>
  <c r="AE12" i="2"/>
  <c r="S24" i="2" l="1"/>
  <c r="S17" i="2"/>
  <c r="AF63" i="2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CI63" i="2" s="1"/>
  <c r="CJ63" i="2" s="1"/>
  <c r="CK63" i="2" s="1"/>
  <c r="CL63" i="2" s="1"/>
  <c r="CM63" i="2" s="1"/>
  <c r="CN63" i="2" s="1"/>
  <c r="CO63" i="2" s="1"/>
  <c r="CP63" i="2" s="1"/>
  <c r="CQ63" i="2" s="1"/>
  <c r="CR63" i="2" s="1"/>
  <c r="CS63" i="2" s="1"/>
  <c r="CT63" i="2" s="1"/>
  <c r="CU63" i="2" s="1"/>
  <c r="CV63" i="2" s="1"/>
  <c r="CW63" i="2" s="1"/>
  <c r="CX63" i="2" s="1"/>
  <c r="CY63" i="2" s="1"/>
  <c r="CZ63" i="2" s="1"/>
  <c r="DA63" i="2" s="1"/>
  <c r="DB63" i="2" s="1"/>
  <c r="DC63" i="2" s="1"/>
  <c r="DD63" i="2" s="1"/>
  <c r="DE63" i="2" s="1"/>
  <c r="DF63" i="2" s="1"/>
  <c r="DG63" i="2" s="1"/>
  <c r="DH63" i="2" s="1"/>
  <c r="DI63" i="2" s="1"/>
  <c r="DJ63" i="2" s="1"/>
  <c r="DK63" i="2" s="1"/>
  <c r="DL63" i="2" s="1"/>
  <c r="DM63" i="2" s="1"/>
  <c r="DN63" i="2" s="1"/>
  <c r="DO63" i="2" s="1"/>
  <c r="DP63" i="2" s="1"/>
  <c r="DQ63" i="2" s="1"/>
  <c r="DR63" i="2" s="1"/>
  <c r="DS63" i="2" s="1"/>
  <c r="DT63" i="2" s="1"/>
  <c r="DU63" i="2" s="1"/>
  <c r="DV63" i="2" s="1"/>
  <c r="DW63" i="2" s="1"/>
  <c r="DX63" i="2" s="1"/>
  <c r="DY63" i="2" s="1"/>
  <c r="DZ63" i="2" s="1"/>
  <c r="EA63" i="2" s="1"/>
  <c r="EB63" i="2" s="1"/>
  <c r="EC63" i="2" s="1"/>
  <c r="ED63" i="2" s="1"/>
  <c r="EE63" i="2" s="1"/>
  <c r="EF63" i="2" s="1"/>
  <c r="EG63" i="2" s="1"/>
  <c r="EH63" i="2" s="1"/>
  <c r="EI63" i="2" s="1"/>
  <c r="EJ63" i="2" s="1"/>
  <c r="EK63" i="2" s="1"/>
  <c r="EL63" i="2" s="1"/>
  <c r="EM63" i="2" s="1"/>
  <c r="EN63" i="2" s="1"/>
  <c r="EO63" i="2" s="1"/>
  <c r="EP63" i="2" s="1"/>
  <c r="EQ63" i="2" s="1"/>
  <c r="R22" i="2"/>
  <c r="R15" i="2"/>
  <c r="AF12" i="2"/>
  <c r="S23" i="2" l="1"/>
  <c r="S18" i="2"/>
  <c r="AG68" i="2"/>
  <c r="AG69" i="2" s="1"/>
  <c r="R24" i="2"/>
  <c r="R17" i="2"/>
  <c r="R49" i="2" s="1"/>
  <c r="AG12" i="2"/>
  <c r="R23" i="2" l="1"/>
  <c r="R18" i="2"/>
  <c r="AH12" i="2"/>
  <c r="AI12" i="2" l="1"/>
  <c r="AJ12" i="2" l="1"/>
  <c r="AK12" i="2" l="1"/>
  <c r="AL12" i="2" l="1"/>
  <c r="AM12" i="2" l="1"/>
  <c r="AN12" i="2" l="1"/>
  <c r="AO12" i="2" l="1"/>
  <c r="AP12" i="2" l="1"/>
  <c r="AQ12" i="2" l="1"/>
  <c r="AR12" i="2" l="1"/>
  <c r="AS12" i="2"/>
  <c r="Z83" i="2" l="1"/>
  <c r="Y83" i="2"/>
  <c r="X83" i="2" l="1"/>
  <c r="X12" i="2"/>
  <c r="X7" i="2"/>
  <c r="X4" i="2"/>
  <c r="X26" i="2" s="1"/>
  <c r="Y12" i="2"/>
  <c r="Y7" i="2"/>
  <c r="Y4" i="2"/>
  <c r="Z12" i="2"/>
  <c r="Z7" i="2"/>
  <c r="Z4" i="2"/>
  <c r="AA12" i="2"/>
  <c r="AA7" i="2"/>
  <c r="AA4" i="2"/>
  <c r="AB12" i="2"/>
  <c r="AB7" i="2"/>
  <c r="AB4" i="2"/>
  <c r="AC12" i="2"/>
  <c r="AC7" i="2"/>
  <c r="AT8" i="2" s="1"/>
  <c r="AC4" i="2"/>
  <c r="N75" i="2"/>
  <c r="N68" i="2"/>
  <c r="N70" i="2" s="1"/>
  <c r="N62" i="2"/>
  <c r="N63" i="2" s="1"/>
  <c r="N80" i="2" s="1"/>
  <c r="J12" i="2"/>
  <c r="J7" i="2"/>
  <c r="J4" i="2"/>
  <c r="J26" i="2" s="1"/>
  <c r="N12" i="2"/>
  <c r="N7" i="2"/>
  <c r="N4" i="2"/>
  <c r="R26" i="2" s="1"/>
  <c r="Q75" i="2"/>
  <c r="Q68" i="2"/>
  <c r="Q70" i="2" s="1"/>
  <c r="Q62" i="2"/>
  <c r="Q63" i="2" s="1"/>
  <c r="P75" i="2"/>
  <c r="P68" i="2"/>
  <c r="P70" i="2" s="1"/>
  <c r="P62" i="2"/>
  <c r="P63" i="2" s="1"/>
  <c r="P80" i="2" s="1"/>
  <c r="P83" i="2" s="1"/>
  <c r="P42" i="2"/>
  <c r="P41" i="2"/>
  <c r="P35" i="2"/>
  <c r="P31" i="2"/>
  <c r="P29" i="2"/>
  <c r="L12" i="2"/>
  <c r="L7" i="2"/>
  <c r="L4" i="2"/>
  <c r="L26" i="2" s="1"/>
  <c r="P12" i="2"/>
  <c r="P7" i="2"/>
  <c r="P4" i="2"/>
  <c r="T4" i="2" s="1"/>
  <c r="T26" i="2" s="1"/>
  <c r="O75" i="2"/>
  <c r="O68" i="2"/>
  <c r="O70" i="2" s="1"/>
  <c r="O62" i="2"/>
  <c r="O63" i="2" s="1"/>
  <c r="O42" i="2"/>
  <c r="O41" i="2"/>
  <c r="O35" i="2"/>
  <c r="O31" i="2"/>
  <c r="O29" i="2"/>
  <c r="O28" i="2" s="1"/>
  <c r="K12" i="2"/>
  <c r="K7" i="2"/>
  <c r="K4" i="2"/>
  <c r="K26" i="2" s="1"/>
  <c r="O12" i="2"/>
  <c r="O7" i="2"/>
  <c r="O4" i="2"/>
  <c r="S26" i="2" s="1"/>
  <c r="N42" i="2"/>
  <c r="N41" i="2"/>
  <c r="N35" i="2"/>
  <c r="N31" i="2"/>
  <c r="N29" i="2"/>
  <c r="N28" i="2" s="1"/>
  <c r="Q42" i="2"/>
  <c r="Q41" i="2"/>
  <c r="Q35" i="2"/>
  <c r="Q31" i="2"/>
  <c r="Q29" i="2"/>
  <c r="Q28" i="2" s="1"/>
  <c r="M12" i="2"/>
  <c r="M7" i="2"/>
  <c r="M4" i="2"/>
  <c r="M26" i="2" s="1"/>
  <c r="Q12" i="2"/>
  <c r="Q7" i="2"/>
  <c r="Q4" i="2"/>
  <c r="L4" i="1"/>
  <c r="L7" i="1" s="1"/>
  <c r="L9" i="1" s="1"/>
  <c r="Y1" i="2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Q8" i="2" l="1"/>
  <c r="Q21" i="2" s="1"/>
  <c r="U4" i="2"/>
  <c r="U26" i="2" s="1"/>
  <c r="P38" i="2"/>
  <c r="O45" i="2"/>
  <c r="O47" i="2" s="1"/>
  <c r="P45" i="2"/>
  <c r="P47" i="2" s="1"/>
  <c r="AT13" i="2"/>
  <c r="AT22" i="2" s="1"/>
  <c r="AT21" i="2"/>
  <c r="N83" i="2"/>
  <c r="N84" i="2" s="1"/>
  <c r="N81" i="2"/>
  <c r="Q78" i="2"/>
  <c r="Q80" i="2"/>
  <c r="Q83" i="2" s="1"/>
  <c r="O78" i="2"/>
  <c r="O80" i="2"/>
  <c r="P81" i="2" s="1"/>
  <c r="N45" i="2"/>
  <c r="N47" i="2" s="1"/>
  <c r="Q27" i="2"/>
  <c r="N78" i="2"/>
  <c r="P28" i="2"/>
  <c r="P78" i="2"/>
  <c r="AC26" i="2"/>
  <c r="Q45" i="2"/>
  <c r="Q47" i="2" s="1"/>
  <c r="X8" i="2"/>
  <c r="X13" i="2" s="1"/>
  <c r="Y26" i="2"/>
  <c r="Y8" i="2"/>
  <c r="Y21" i="2" s="1"/>
  <c r="Z26" i="2"/>
  <c r="Z8" i="2"/>
  <c r="Z21" i="2" s="1"/>
  <c r="AA26" i="2"/>
  <c r="AA8" i="2"/>
  <c r="AA21" i="2" s="1"/>
  <c r="AB26" i="2"/>
  <c r="AB8" i="2"/>
  <c r="AB13" i="2" s="1"/>
  <c r="AC8" i="2"/>
  <c r="AC13" i="2" s="1"/>
  <c r="J8" i="2"/>
  <c r="J21" i="2" s="1"/>
  <c r="J13" i="2"/>
  <c r="N26" i="2"/>
  <c r="N8" i="2"/>
  <c r="N21" i="2" s="1"/>
  <c r="P26" i="2"/>
  <c r="L8" i="2"/>
  <c r="L21" i="2" s="1"/>
  <c r="P8" i="2"/>
  <c r="P13" i="2" s="1"/>
  <c r="Q38" i="2"/>
  <c r="O8" i="2"/>
  <c r="O13" i="2" s="1"/>
  <c r="N38" i="2"/>
  <c r="O38" i="2"/>
  <c r="O26" i="2"/>
  <c r="K8" i="2"/>
  <c r="K13" i="2" s="1"/>
  <c r="O21" i="2"/>
  <c r="M8" i="2"/>
  <c r="Q26" i="2"/>
  <c r="Q13" i="2" l="1"/>
  <c r="Q15" i="2" s="1"/>
  <c r="Q17" i="2" s="1"/>
  <c r="Q49" i="2" s="1"/>
  <c r="L13" i="2"/>
  <c r="L15" i="2" s="1"/>
  <c r="O83" i="2"/>
  <c r="R81" i="2"/>
  <c r="O81" i="2"/>
  <c r="Q81" i="2"/>
  <c r="AD26" i="2"/>
  <c r="Q84" i="2"/>
  <c r="P84" i="2"/>
  <c r="X21" i="2"/>
  <c r="X22" i="2"/>
  <c r="X15" i="2"/>
  <c r="Y13" i="2"/>
  <c r="Y22" i="2" s="1"/>
  <c r="Z13" i="2"/>
  <c r="Z15" i="2" s="1"/>
  <c r="AA13" i="2"/>
  <c r="AA22" i="2" s="1"/>
  <c r="AB21" i="2"/>
  <c r="AB22" i="2"/>
  <c r="AB15" i="2"/>
  <c r="AC21" i="2"/>
  <c r="AC22" i="2"/>
  <c r="AC15" i="2"/>
  <c r="J22" i="2"/>
  <c r="J15" i="2"/>
  <c r="N13" i="2"/>
  <c r="N22" i="2" s="1"/>
  <c r="L22" i="2"/>
  <c r="P21" i="2"/>
  <c r="P22" i="2"/>
  <c r="P15" i="2"/>
  <c r="K21" i="2"/>
  <c r="K22" i="2"/>
  <c r="K15" i="2"/>
  <c r="O22" i="2"/>
  <c r="O15" i="2"/>
  <c r="Q24" i="2"/>
  <c r="M13" i="2"/>
  <c r="M21" i="2"/>
  <c r="Q22" i="2" l="1"/>
  <c r="O84" i="2"/>
  <c r="R84" i="2"/>
  <c r="AE8" i="2"/>
  <c r="AE26" i="2"/>
  <c r="AD21" i="2"/>
  <c r="X24" i="2"/>
  <c r="X17" i="2"/>
  <c r="Y15" i="2"/>
  <c r="Y24" i="2" s="1"/>
  <c r="Z22" i="2"/>
  <c r="Z24" i="2"/>
  <c r="Z17" i="2"/>
  <c r="AA15" i="2"/>
  <c r="AA24" i="2" s="1"/>
  <c r="AB24" i="2"/>
  <c r="AB17" i="2"/>
  <c r="AC24" i="2"/>
  <c r="AC17" i="2"/>
  <c r="J24" i="2"/>
  <c r="J17" i="2"/>
  <c r="N15" i="2"/>
  <c r="N24" i="2" s="1"/>
  <c r="L24" i="2"/>
  <c r="L17" i="2"/>
  <c r="P24" i="2"/>
  <c r="P17" i="2"/>
  <c r="P49" i="2" s="1"/>
  <c r="K24" i="2"/>
  <c r="K17" i="2"/>
  <c r="O24" i="2"/>
  <c r="O17" i="2"/>
  <c r="O49" i="2" s="1"/>
  <c r="Q18" i="2"/>
  <c r="Q23" i="2"/>
  <c r="M22" i="2"/>
  <c r="M15" i="2"/>
  <c r="AD22" i="2" l="1"/>
  <c r="AD15" i="2"/>
  <c r="AE21" i="2"/>
  <c r="AE13" i="2"/>
  <c r="AF26" i="2"/>
  <c r="AF8" i="2"/>
  <c r="X23" i="2"/>
  <c r="X18" i="2"/>
  <c r="Y17" i="2"/>
  <c r="Y23" i="2" s="1"/>
  <c r="Z23" i="2"/>
  <c r="Z18" i="2"/>
  <c r="AA17" i="2"/>
  <c r="AA23" i="2" s="1"/>
  <c r="AB23" i="2"/>
  <c r="AB18" i="2"/>
  <c r="AC23" i="2"/>
  <c r="AC18" i="2"/>
  <c r="J23" i="2"/>
  <c r="J18" i="2"/>
  <c r="N17" i="2"/>
  <c r="L23" i="2"/>
  <c r="L18" i="2"/>
  <c r="P23" i="2"/>
  <c r="P18" i="2"/>
  <c r="K23" i="2"/>
  <c r="K18" i="2"/>
  <c r="O23" i="2"/>
  <c r="O18" i="2"/>
  <c r="M24" i="2"/>
  <c r="M17" i="2"/>
  <c r="AF21" i="2" l="1"/>
  <c r="AF13" i="2"/>
  <c r="AF22" i="2" s="1"/>
  <c r="AG8" i="2"/>
  <c r="AG26" i="2"/>
  <c r="AD17" i="2"/>
  <c r="AD18" i="2" s="1"/>
  <c r="AD24" i="2"/>
  <c r="N23" i="2"/>
  <c r="N49" i="2"/>
  <c r="AE22" i="2"/>
  <c r="Y18" i="2"/>
  <c r="AA18" i="2"/>
  <c r="N18" i="2"/>
  <c r="M23" i="2"/>
  <c r="M18" i="2"/>
  <c r="AD28" i="2" l="1"/>
  <c r="AD23" i="2"/>
  <c r="AG21" i="2"/>
  <c r="AG13" i="2"/>
  <c r="AG22" i="2" s="1"/>
  <c r="AH8" i="2"/>
  <c r="AH26" i="2"/>
  <c r="AE14" i="2" l="1"/>
  <c r="AE15" i="2" s="1"/>
  <c r="AE16" i="2" s="1"/>
  <c r="AE24" i="2" s="1"/>
  <c r="AH21" i="2"/>
  <c r="AH13" i="2"/>
  <c r="AH22" i="2" s="1"/>
  <c r="AI8" i="2"/>
  <c r="AI26" i="2"/>
  <c r="AE17" i="2" l="1"/>
  <c r="AI21" i="2"/>
  <c r="AI13" i="2"/>
  <c r="AI22" i="2" s="1"/>
  <c r="AJ26" i="2"/>
  <c r="AJ8" i="2"/>
  <c r="AJ21" i="2" l="1"/>
  <c r="AJ13" i="2"/>
  <c r="AK26" i="2"/>
  <c r="AK8" i="2"/>
  <c r="AE28" i="2"/>
  <c r="AF14" i="2" s="1"/>
  <c r="AE23" i="2"/>
  <c r="AL8" i="2" l="1"/>
  <c r="AL26" i="2"/>
  <c r="AF15" i="2"/>
  <c r="AK21" i="2"/>
  <c r="AK13" i="2"/>
  <c r="AJ22" i="2"/>
  <c r="AK22" i="2" l="1"/>
  <c r="AF16" i="2"/>
  <c r="AF24" i="2" s="1"/>
  <c r="AL21" i="2"/>
  <c r="AL13" i="2"/>
  <c r="AL22" i="2" s="1"/>
  <c r="AM8" i="2"/>
  <c r="AM26" i="2"/>
  <c r="AM21" i="2" l="1"/>
  <c r="AM13" i="2"/>
  <c r="AM22" i="2" s="1"/>
  <c r="AN8" i="2"/>
  <c r="AN26" i="2"/>
  <c r="AF17" i="2"/>
  <c r="AO8" i="2" l="1"/>
  <c r="AO26" i="2"/>
  <c r="AF23" i="2"/>
  <c r="AF28" i="2"/>
  <c r="AN21" i="2"/>
  <c r="AN13" i="2"/>
  <c r="AN22" i="2" s="1"/>
  <c r="AG14" i="2" l="1"/>
  <c r="AG15" i="2" s="1"/>
  <c r="AO21" i="2"/>
  <c r="AO13" i="2"/>
  <c r="AO22" i="2" s="1"/>
  <c r="AP8" i="2"/>
  <c r="AP26" i="2"/>
  <c r="AG70" i="2"/>
  <c r="AQ8" i="2" l="1"/>
  <c r="AQ26" i="2"/>
  <c r="AP21" i="2"/>
  <c r="AP13" i="2"/>
  <c r="AP22" i="2" s="1"/>
  <c r="AG16" i="2"/>
  <c r="AG24" i="2" s="1"/>
  <c r="AG17" i="2" l="1"/>
  <c r="AG23" i="2" s="1"/>
  <c r="AQ21" i="2"/>
  <c r="AQ13" i="2"/>
  <c r="AQ22" i="2" s="1"/>
  <c r="AR8" i="2"/>
  <c r="AR26" i="2"/>
  <c r="AG28" i="2" l="1"/>
  <c r="AH14" i="2" s="1"/>
  <c r="AH15" i="2" s="1"/>
  <c r="AR21" i="2"/>
  <c r="AR13" i="2"/>
  <c r="AR22" i="2" s="1"/>
  <c r="AS26" i="2"/>
  <c r="AS8" i="2"/>
  <c r="AH16" i="2" l="1"/>
  <c r="AH24" i="2" s="1"/>
  <c r="AS21" i="2"/>
  <c r="AS13" i="2"/>
  <c r="AS22" i="2" s="1"/>
  <c r="AH17" i="2" l="1"/>
  <c r="AH23" i="2" l="1"/>
  <c r="AH28" i="2"/>
  <c r="AI14" i="2" l="1"/>
  <c r="AI15" i="2" s="1"/>
  <c r="AI16" i="2" l="1"/>
  <c r="AI24" i="2" s="1"/>
  <c r="AI17" i="2" l="1"/>
  <c r="AI23" i="2" s="1"/>
  <c r="AI28" i="2" l="1"/>
  <c r="AJ14" i="2" s="1"/>
  <c r="AJ15" i="2" s="1"/>
  <c r="AJ16" i="2" l="1"/>
  <c r="AJ24" i="2" s="1"/>
  <c r="AJ17" i="2" l="1"/>
  <c r="AJ23" i="2" s="1"/>
  <c r="AJ28" i="2" l="1"/>
  <c r="AK14" i="2" s="1"/>
  <c r="AK15" i="2" s="1"/>
  <c r="AK16" i="2" l="1"/>
  <c r="AK24" i="2" s="1"/>
  <c r="AK17" i="2" l="1"/>
  <c r="AK23" i="2" s="1"/>
  <c r="AK28" i="2" l="1"/>
  <c r="AL14" i="2" s="1"/>
  <c r="AL15" i="2" s="1"/>
  <c r="AL16" i="2" l="1"/>
  <c r="AL24" i="2" s="1"/>
  <c r="AL17" i="2" l="1"/>
  <c r="AL23" i="2" s="1"/>
  <c r="AL28" i="2" l="1"/>
  <c r="AM14" i="2" s="1"/>
  <c r="AM15" i="2" s="1"/>
  <c r="AM16" i="2" s="1"/>
  <c r="AM24" i="2" s="1"/>
  <c r="AM17" i="2" l="1"/>
  <c r="AM28" i="2" s="1"/>
  <c r="AM23" i="2" l="1"/>
  <c r="AN14" i="2"/>
  <c r="AN15" i="2" s="1"/>
  <c r="AN16" i="2" l="1"/>
  <c r="AN24" i="2" s="1"/>
  <c r="AN17" i="2" l="1"/>
  <c r="AN23" i="2" s="1"/>
  <c r="AN28" i="2" l="1"/>
  <c r="AO14" i="2" s="1"/>
  <c r="AO15" i="2" s="1"/>
  <c r="AO16" i="2"/>
  <c r="AO24" i="2" s="1"/>
  <c r="AO17" i="2" l="1"/>
  <c r="AO28" i="2" s="1"/>
  <c r="AO23" i="2" l="1"/>
  <c r="AP14" i="2"/>
  <c r="AP15" i="2" s="1"/>
  <c r="AP16" i="2" l="1"/>
  <c r="AP24" i="2" s="1"/>
  <c r="AP17" i="2"/>
  <c r="AP23" i="2" l="1"/>
  <c r="AP28" i="2"/>
  <c r="AQ14" i="2" s="1"/>
  <c r="AQ15" i="2" s="1"/>
  <c r="AQ16" i="2" l="1"/>
  <c r="AQ24" i="2" s="1"/>
  <c r="AQ17" i="2" l="1"/>
  <c r="AQ28" i="2" s="1"/>
  <c r="AR14" i="2" s="1"/>
  <c r="AR15" i="2" s="1"/>
  <c r="AQ23" i="2" l="1"/>
  <c r="AR16" i="2"/>
  <c r="AR24" i="2" s="1"/>
  <c r="AR17" i="2" l="1"/>
  <c r="AR28" i="2" s="1"/>
  <c r="AR23" i="2" l="1"/>
  <c r="AS14" i="2"/>
  <c r="AS15" i="2" s="1"/>
  <c r="AS16" i="2" l="1"/>
  <c r="AS24" i="2" s="1"/>
  <c r="AS17" i="2" l="1"/>
  <c r="AS23" i="2" l="1"/>
  <c r="AS28" i="2"/>
  <c r="AT14" i="2" l="1"/>
  <c r="AT15" i="2" s="1"/>
  <c r="AT16" i="2" l="1"/>
  <c r="AT24" i="2" s="1"/>
  <c r="AT17" i="2" l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AT28" i="2" l="1"/>
  <c r="AT23" i="2"/>
  <c r="AW24" i="2"/>
  <c r="AW26" i="2" s="1"/>
  <c r="AW27" i="2" s="1"/>
  <c r="AW2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S2" authorId="0" shapeId="0" xr:uid="{D39585CD-6255-4B1B-95AE-333633DCF5B1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
$2.995 - $3.000
</t>
        </r>
      </text>
    </comment>
    <comment ref="AE2" authorId="0" shapeId="0" xr:uid="{0423DA86-FB99-415E-94AC-29B1F493779F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Guidance:
$12,635 ‑ $12,675
</t>
        </r>
      </text>
    </comment>
  </commentList>
</comments>
</file>

<file path=xl/sharedStrings.xml><?xml version="1.0" encoding="utf-8"?>
<sst xmlns="http://schemas.openxmlformats.org/spreadsheetml/2006/main" count="123" uniqueCount="103">
  <si>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</si>
  <si>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</si>
  <si>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</si>
  <si>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</si>
  <si>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</si>
  <si>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</si>
  <si>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</si>
  <si>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</si>
  <si>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</si>
  <si>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</si>
  <si>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</si>
  <si>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</si>
  <si>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</si>
  <si>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</si>
  <si>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</si>
  <si>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</si>
  <si>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</si>
  <si>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</si>
  <si>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</si>
  <si>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</si>
  <si>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</si>
  <si>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</si>
  <si>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</si>
  <si>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</si>
  <si>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</si>
  <si>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</si>
  <si>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</si>
  <si>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</si>
  <si>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</si>
  <si>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</si>
  <si>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</si>
  <si>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</si>
  <si>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</si>
  <si>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</si>
  <si>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</si>
  <si>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</si>
  <si>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</si>
  <si>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</si>
  <si>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Subscription</t>
  </si>
  <si>
    <t>Service &amp; other</t>
  </si>
  <si>
    <t>COGS Subscription</t>
  </si>
  <si>
    <t>COGS service</t>
  </si>
  <si>
    <t>S&amp;M</t>
  </si>
  <si>
    <t>G&amp;A</t>
  </si>
  <si>
    <t>Net cash</t>
  </si>
  <si>
    <t>A/R</t>
  </si>
  <si>
    <t>Deferred commossions</t>
  </si>
  <si>
    <t>Prepaid</t>
  </si>
  <si>
    <t>PP&amp;E</t>
  </si>
  <si>
    <t>Lease</t>
  </si>
  <si>
    <t>Goodwill</t>
  </si>
  <si>
    <t>D/T</t>
  </si>
  <si>
    <t>Other</t>
  </si>
  <si>
    <t>Assets</t>
  </si>
  <si>
    <t>A/P</t>
  </si>
  <si>
    <t>Accrued expense</t>
  </si>
  <si>
    <t>DR</t>
  </si>
  <si>
    <t>Liabilities</t>
  </si>
  <si>
    <t>S/E</t>
  </si>
  <si>
    <t>L+S/E</t>
  </si>
  <si>
    <t>Model NI</t>
  </si>
  <si>
    <t>Reported NI</t>
  </si>
  <si>
    <t>D&amp;A</t>
  </si>
  <si>
    <t>Amor deferred commissions</t>
  </si>
  <si>
    <t>SBC</t>
  </si>
  <si>
    <t>Deferred commissions</t>
  </si>
  <si>
    <t>Prepaid expense</t>
  </si>
  <si>
    <t>CFFO</t>
  </si>
  <si>
    <t>Working capital</t>
  </si>
  <si>
    <t>CapEx</t>
  </si>
  <si>
    <t>Aquisition</t>
  </si>
  <si>
    <t>Intangibles</t>
  </si>
  <si>
    <t>Investments</t>
  </si>
  <si>
    <t>CFFI</t>
  </si>
  <si>
    <t>ESOP</t>
  </si>
  <si>
    <t>Buybacks</t>
  </si>
  <si>
    <t>SBC tax</t>
  </si>
  <si>
    <t>CFFF</t>
  </si>
  <si>
    <t>FX</t>
  </si>
  <si>
    <t>CIC</t>
  </si>
  <si>
    <t>FCF</t>
  </si>
  <si>
    <t>FCF TTM</t>
  </si>
  <si>
    <t>FCF-SBC</t>
  </si>
  <si>
    <t>FCF-SBC TTM</t>
  </si>
  <si>
    <t>Growth rate</t>
  </si>
  <si>
    <t>Terminal</t>
  </si>
  <si>
    <t>Discount</t>
  </si>
  <si>
    <t>NPV</t>
  </si>
  <si>
    <t>Share</t>
  </si>
  <si>
    <t>Founded</t>
  </si>
  <si>
    <t>Founders</t>
  </si>
  <si>
    <t>Fred Luddy</t>
  </si>
  <si>
    <t>Bow Ruggeri</t>
  </si>
  <si>
    <t>Don Goodliffe</t>
  </si>
  <si>
    <t>ROIC</t>
  </si>
  <si>
    <t>Value</t>
  </si>
  <si>
    <t>Current</t>
  </si>
  <si>
    <t>Change</t>
  </si>
  <si>
    <t>Q125</t>
  </si>
  <si>
    <t>Q225</t>
  </si>
  <si>
    <t>Q325</t>
  </si>
  <si>
    <t>Q425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</si>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</sst>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x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3" fontId="4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9525</xdr:rowOff>
    </xdr:from>
    <xdr:to>
      <xdr:col>19</xdr:col>
      <xdr:colOff>19050</xdr:colOff>
      <xdr:row>88</xdr:row>
      <xdr:rowOff>57150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AC0BA81-9198-FF68-697A-19CE3CC62972}"/>
            </a:ext>
          </a:extLst>
        </xdr:cNvPr>
        <xdr:cNvCxnSpPr/>
      </xdr:nvCxnSpPr>
      <xdr:spPr>
        <a:xfrm>
          <a:off x="11830050" y="9525"/>
          <a:ext cx="0" cy="142970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28575</xdr:colOff>
      <xdr:row>0</xdr:row>
      <xdr:rowOff>0</xdr:rowOff>
    </xdr:from>
    <xdr:to>
      <xdr:col>30</xdr:col>
      <xdr:colOff>28575</xdr:colOff>
      <xdr:row>91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E242B1F-7795-4B9D-B6EC-EFAFC1B7CEA7}"/>
            </a:ext>
          </a:extLst>
        </xdr:cNvPr>
        <xdr:cNvCxnSpPr/>
      </xdr:nvCxnSpPr>
      <xdr:spPr>
        <a:xfrm>
          <a:off x="18821400" y="47625"/>
          <a:ext cx="0" cy="1536382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18732-5B32-4E9E-8D6C-FCBEA15B83F5}">
  <dimension ref="K2:M14"/>
  <sheetViews>
    <sheetView workbookViewId="0">
      <selection activeCell="L7" sqref="L7"/>
    </sheetView>
  </sheetViews>
  <sheetFormatPr defaultRowHeight="12.75" x14ac:dyDescent="0.2"/>
  <cols>
    <col min="1" max="1" width="4" customWidth="1"/>
  </cols>
  <sheetData>
    <row r="2" spans="11:13" x14ac:dyDescent="0.2">
      <c r="K2" t="s">
        <v>33</v>
      </c>
      <c r="L2" s="1">
        <v>812.7</v>
      </c>
    </row>
    <row r="3" spans="11:13" x14ac:dyDescent="0.2">
      <c r="K3" t="s">
        <v>11</v>
      </c>
      <c r="L3" s="1">
        <f>+Model!S19</f>
        <v>209</v>
      </c>
      <c r="M3" s="9" t="s">
        <v>98</v>
      </c>
    </row>
    <row r="4" spans="11:13" x14ac:dyDescent="0.2">
      <c r="K4" t="s">
        <v>34</v>
      </c>
      <c r="L4" s="1">
        <f>+L2*L3</f>
        <v>169854.30000000002</v>
      </c>
      <c r="M4" s="9"/>
    </row>
    <row r="5" spans="11:13" x14ac:dyDescent="0.2">
      <c r="K5" t="s">
        <v>35</v>
      </c>
      <c r="L5" s="1">
        <f>+Model!S29</f>
        <v>10932</v>
      </c>
      <c r="M5" s="9" t="s">
        <v>98</v>
      </c>
    </row>
    <row r="6" spans="11:13" x14ac:dyDescent="0.2">
      <c r="K6" t="s">
        <v>36</v>
      </c>
      <c r="L6" s="1">
        <f>+Model!S43</f>
        <v>1490</v>
      </c>
      <c r="M6" s="9" t="s">
        <v>98</v>
      </c>
    </row>
    <row r="7" spans="11:13" x14ac:dyDescent="0.2">
      <c r="K7" t="s">
        <v>37</v>
      </c>
      <c r="L7" s="1">
        <f>+L4-L5+L6</f>
        <v>160412.30000000002</v>
      </c>
    </row>
    <row r="8" spans="11:13" x14ac:dyDescent="0.2">
      <c r="L8" s="1">
        <f>+SUM(Model!P80:S80)</f>
        <v>3681</v>
      </c>
    </row>
    <row r="9" spans="11:13" x14ac:dyDescent="0.2">
      <c r="L9" s="8">
        <f>+L7/L8</f>
        <v>43.578456941048636</v>
      </c>
    </row>
    <row r="11" spans="11:13" x14ac:dyDescent="0.2">
      <c r="K11" t="s">
        <v>89</v>
      </c>
      <c r="L11">
        <v>2004</v>
      </c>
    </row>
    <row r="12" spans="11:13" x14ac:dyDescent="0.2">
      <c r="K12" t="s">
        <v>90</v>
      </c>
      <c r="L12" t="s">
        <v>91</v>
      </c>
    </row>
    <row r="13" spans="11:13" x14ac:dyDescent="0.2">
      <c r="L13" t="s">
        <v>92</v>
      </c>
    </row>
    <row r="14" spans="11:13" x14ac:dyDescent="0.2">
      <c r="L14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1BEA-6E5C-4E1E-9250-07E6A452946A}">
  <dimension ref="A1:EQ84"/>
  <sheetViews>
    <sheetView tabSelected="1" zoomScaleNormal="100" workbookViewId="0">
      <pane xSplit="2" ySplit="1" topLeftCell="L50" activePane="bottomRight" state="frozen"/>
      <selection pane="topRight" activeCell="B1" sqref="B1"/>
      <selection pane="bottomLeft" activeCell="A3" sqref="A3"/>
      <selection pane="bottomRight" activeCell="N86" sqref="N86"/>
    </sheetView>
  </sheetViews>
  <sheetFormatPr defaultRowHeight="12.75" x14ac:dyDescent="0.2"/>
  <cols>
    <col min="1" max="1" width="5" style="1" bestFit="1" customWidth="1"/>
    <col min="2" max="2" width="16.7109375" style="1" bestFit="1" customWidth="1"/>
    <col min="3" max="31" width="9.140625" style="1"/>
    <col min="32" max="32" width="10.5703125" style="1" bestFit="1" customWidth="1"/>
    <col min="33" max="41" width="9.140625" style="1"/>
    <col min="42" max="42" width="9.28515625" style="1" customWidth="1"/>
    <col min="43" max="45" width="9.140625" style="1"/>
    <col min="46" max="46" width="8.85546875" style="1" customWidth="1"/>
    <col min="47" max="47" width="10.5703125" style="1" bestFit="1" customWidth="1"/>
    <col min="48" max="16384" width="9.140625" style="1"/>
  </cols>
  <sheetData>
    <row r="1" spans="1:46" x14ac:dyDescent="0.2">
      <c r="A1" s="10" t="s">
        <v>102</v>
      </c>
      <c r="B1" s="2"/>
      <c r="C1" s="2" t="s">
        <v>17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18</v>
      </c>
      <c r="I1" s="2" t="s">
        <v>19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  <c r="S1" s="2" t="s">
        <v>98</v>
      </c>
      <c r="T1" s="2" t="s">
        <v>99</v>
      </c>
      <c r="U1" s="2" t="s">
        <v>100</v>
      </c>
      <c r="V1" s="2" t="s">
        <v>101</v>
      </c>
      <c r="X1">
        <v>2018</v>
      </c>
      <c r="Y1">
        <f t="shared" ref="Y1:AT1" si="0">+X1+1</f>
        <v>2019</v>
      </c>
      <c r="Z1">
        <f t="shared" si="0"/>
        <v>2020</v>
      </c>
      <c r="AA1">
        <f t="shared" si="0"/>
        <v>2021</v>
      </c>
      <c r="AB1">
        <f t="shared" si="0"/>
        <v>2022</v>
      </c>
      <c r="AC1">
        <f t="shared" si="0"/>
        <v>2023</v>
      </c>
      <c r="AD1">
        <f t="shared" si="0"/>
        <v>2024</v>
      </c>
      <c r="AE1">
        <f t="shared" si="0"/>
        <v>2025</v>
      </c>
      <c r="AF1">
        <f t="shared" si="0"/>
        <v>2026</v>
      </c>
      <c r="AG1">
        <f t="shared" si="0"/>
        <v>2027</v>
      </c>
      <c r="AH1">
        <f t="shared" si="0"/>
        <v>2028</v>
      </c>
      <c r="AI1">
        <f t="shared" si="0"/>
        <v>2029</v>
      </c>
      <c r="AJ1">
        <f t="shared" si="0"/>
        <v>2030</v>
      </c>
      <c r="AK1">
        <f t="shared" si="0"/>
        <v>2031</v>
      </c>
      <c r="AL1">
        <f t="shared" si="0"/>
        <v>2032</v>
      </c>
      <c r="AM1">
        <f t="shared" si="0"/>
        <v>2033</v>
      </c>
      <c r="AN1">
        <f t="shared" si="0"/>
        <v>2034</v>
      </c>
      <c r="AO1">
        <f t="shared" si="0"/>
        <v>2035</v>
      </c>
      <c r="AP1">
        <f t="shared" si="0"/>
        <v>2036</v>
      </c>
      <c r="AQ1">
        <f t="shared" si="0"/>
        <v>2037</v>
      </c>
      <c r="AR1">
        <f t="shared" si="0"/>
        <v>2038</v>
      </c>
      <c r="AS1">
        <f t="shared" si="0"/>
        <v>2039</v>
      </c>
      <c r="AT1">
        <f t="shared" si="0"/>
        <v>2040</v>
      </c>
    </row>
    <row r="2" spans="1:46" x14ac:dyDescent="0.2">
      <c r="B2" s="5" t="s">
        <v>38</v>
      </c>
      <c r="C2" s="2"/>
      <c r="D2" s="2"/>
      <c r="E2" s="2"/>
      <c r="F2" s="2"/>
      <c r="G2" s="2"/>
      <c r="H2" s="2"/>
      <c r="I2" s="2"/>
      <c r="J2" s="2">
        <v>1860</v>
      </c>
      <c r="K2" s="2">
        <v>2024</v>
      </c>
      <c r="L2" s="1">
        <v>2075</v>
      </c>
      <c r="M2" s="1">
        <v>2216</v>
      </c>
      <c r="N2" s="2">
        <v>2365</v>
      </c>
      <c r="O2" s="2">
        <v>2523</v>
      </c>
      <c r="P2" s="1">
        <v>2542</v>
      </c>
      <c r="Q2" s="1">
        <v>2715</v>
      </c>
      <c r="R2" s="1">
        <v>2866</v>
      </c>
      <c r="S2" s="1">
        <v>3005</v>
      </c>
      <c r="X2" s="1">
        <v>2421.3130000000001</v>
      </c>
      <c r="Y2" s="1">
        <v>3255.0790000000002</v>
      </c>
      <c r="Z2" s="1">
        <v>4285.7969999999996</v>
      </c>
      <c r="AA2" s="1">
        <v>5573</v>
      </c>
      <c r="AB2" s="1">
        <v>6891</v>
      </c>
      <c r="AC2" s="1">
        <v>8680</v>
      </c>
      <c r="AD2" s="1">
        <f>+SUM(O2:R2)</f>
        <v>10646</v>
      </c>
      <c r="AE2"/>
      <c r="AF2"/>
      <c r="AG2"/>
      <c r="AH2"/>
      <c r="AI2"/>
      <c r="AJ2"/>
      <c r="AK2"/>
      <c r="AL2"/>
      <c r="AM2"/>
      <c r="AN2"/>
    </row>
    <row r="3" spans="1:46" x14ac:dyDescent="0.2">
      <c r="B3" s="5" t="s">
        <v>39</v>
      </c>
      <c r="C3" s="2"/>
      <c r="D3" s="2"/>
      <c r="E3" s="2"/>
      <c r="F3" s="2"/>
      <c r="G3" s="2"/>
      <c r="H3" s="2"/>
      <c r="I3" s="2"/>
      <c r="J3" s="2">
        <v>80</v>
      </c>
      <c r="K3" s="2">
        <v>72</v>
      </c>
      <c r="L3" s="1">
        <v>75</v>
      </c>
      <c r="M3" s="1">
        <v>72</v>
      </c>
      <c r="N3" s="2">
        <v>72</v>
      </c>
      <c r="O3" s="2">
        <v>80</v>
      </c>
      <c r="P3" s="1">
        <v>85</v>
      </c>
      <c r="Q3" s="1">
        <v>82</v>
      </c>
      <c r="R3" s="1">
        <v>91</v>
      </c>
      <c r="S3" s="1">
        <v>83</v>
      </c>
      <c r="X3" s="1">
        <v>187.50299999999999</v>
      </c>
      <c r="Y3" s="1">
        <v>205.358</v>
      </c>
      <c r="Z3" s="1">
        <v>233.68700000000001</v>
      </c>
      <c r="AA3" s="1">
        <v>323</v>
      </c>
      <c r="AB3" s="1">
        <v>354</v>
      </c>
      <c r="AC3" s="1">
        <v>291</v>
      </c>
      <c r="AD3" s="1">
        <f>+SUM(O3:R3)</f>
        <v>338</v>
      </c>
      <c r="AE3"/>
      <c r="AF3"/>
      <c r="AG3"/>
      <c r="AH3"/>
      <c r="AI3"/>
      <c r="AJ3"/>
      <c r="AK3"/>
      <c r="AL3"/>
      <c r="AM3"/>
      <c r="AN3"/>
    </row>
    <row r="4" spans="1:46" s="6" customFormat="1" x14ac:dyDescent="0.2">
      <c r="B4" s="6" t="s">
        <v>0</v>
      </c>
      <c r="J4" s="6">
        <f t="shared" ref="J4:Q4" si="1">+J2+J3</f>
        <v>1940</v>
      </c>
      <c r="K4" s="6">
        <f t="shared" si="1"/>
        <v>2096</v>
      </c>
      <c r="L4" s="6">
        <f t="shared" si="1"/>
        <v>2150</v>
      </c>
      <c r="M4" s="6">
        <f t="shared" si="1"/>
        <v>2288</v>
      </c>
      <c r="N4" s="6">
        <f t="shared" si="1"/>
        <v>2437</v>
      </c>
      <c r="O4" s="6">
        <f t="shared" si="1"/>
        <v>2603</v>
      </c>
      <c r="P4" s="6">
        <f t="shared" si="1"/>
        <v>2627</v>
      </c>
      <c r="Q4" s="6">
        <f t="shared" si="1"/>
        <v>2797</v>
      </c>
      <c r="R4" s="6">
        <f t="shared" ref="R4:S4" si="2">+R2+R3</f>
        <v>2957</v>
      </c>
      <c r="S4" s="6">
        <f t="shared" si="2"/>
        <v>3088</v>
      </c>
      <c r="T4" s="6">
        <f t="shared" ref="T4" si="3">+P4*1.19</f>
        <v>3126.1299999999997</v>
      </c>
      <c r="U4" s="6">
        <f>+Q4*1.18</f>
        <v>3300.46</v>
      </c>
      <c r="V4" s="6">
        <f>+R4*1.17</f>
        <v>3459.6899999999996</v>
      </c>
      <c r="X4" s="6">
        <f t="shared" ref="X4:AD4" si="4">+X2+X3</f>
        <v>2608.8160000000003</v>
      </c>
      <c r="Y4" s="6">
        <f t="shared" si="4"/>
        <v>3460.4370000000004</v>
      </c>
      <c r="Z4" s="6">
        <f t="shared" si="4"/>
        <v>4519.4839999999995</v>
      </c>
      <c r="AA4" s="6">
        <f t="shared" si="4"/>
        <v>5896</v>
      </c>
      <c r="AB4" s="6">
        <f t="shared" si="4"/>
        <v>7245</v>
      </c>
      <c r="AC4" s="6">
        <f t="shared" si="4"/>
        <v>8971</v>
      </c>
      <c r="AD4" s="6">
        <f t="shared" si="4"/>
        <v>10984</v>
      </c>
      <c r="AE4" s="6">
        <f>+AD4*1.19</f>
        <v>13070.96</v>
      </c>
      <c r="AF4" s="6">
        <f>+AE4*1.2</f>
        <v>15685.151999999998</v>
      </c>
      <c r="AG4" s="6">
        <f t="shared" ref="AG4:AT4" si="5">+AF4*1.2</f>
        <v>18822.182399999998</v>
      </c>
      <c r="AH4" s="6">
        <f t="shared" si="5"/>
        <v>22586.618879999998</v>
      </c>
      <c r="AI4" s="6">
        <f t="shared" si="5"/>
        <v>27103.942655999996</v>
      </c>
      <c r="AJ4" s="6">
        <f t="shared" si="5"/>
        <v>32524.731187199992</v>
      </c>
      <c r="AK4" s="6">
        <f t="shared" si="5"/>
        <v>39029.677424639987</v>
      </c>
      <c r="AL4" s="6">
        <f t="shared" si="5"/>
        <v>46835.612909567986</v>
      </c>
      <c r="AM4" s="6">
        <f t="shared" si="5"/>
        <v>56202.735491481581</v>
      </c>
      <c r="AN4" s="6">
        <f t="shared" si="5"/>
        <v>67443.282589777897</v>
      </c>
      <c r="AO4" s="6">
        <f t="shared" si="5"/>
        <v>80931.939107733473</v>
      </c>
      <c r="AP4" s="6">
        <f t="shared" si="5"/>
        <v>97118.326929280171</v>
      </c>
      <c r="AQ4" s="6">
        <f t="shared" si="5"/>
        <v>116541.9923151362</v>
      </c>
      <c r="AR4" s="6">
        <f t="shared" si="5"/>
        <v>139850.39077816345</v>
      </c>
      <c r="AS4" s="6">
        <f t="shared" si="5"/>
        <v>167820.46893379613</v>
      </c>
      <c r="AT4" s="6">
        <f t="shared" si="5"/>
        <v>201384.56272055535</v>
      </c>
    </row>
    <row r="5" spans="1:46" x14ac:dyDescent="0.2">
      <c r="B5" s="1" t="s">
        <v>40</v>
      </c>
      <c r="J5" s="1">
        <v>324</v>
      </c>
      <c r="K5" s="1">
        <v>354</v>
      </c>
      <c r="L5" s="1">
        <v>389</v>
      </c>
      <c r="M5" s="1">
        <v>420</v>
      </c>
      <c r="N5" s="1">
        <v>443</v>
      </c>
      <c r="O5" s="1">
        <v>441</v>
      </c>
      <c r="P5" s="1">
        <v>469</v>
      </c>
      <c r="Q5" s="1">
        <v>496</v>
      </c>
      <c r="R5" s="1">
        <v>536</v>
      </c>
      <c r="S5" s="1">
        <v>561</v>
      </c>
      <c r="X5" s="1">
        <v>417.42099999999999</v>
      </c>
      <c r="Y5" s="1">
        <v>549.64200000000005</v>
      </c>
      <c r="Z5" s="1">
        <v>730.83500000000004</v>
      </c>
      <c r="AA5" s="1">
        <v>1022</v>
      </c>
      <c r="AB5" s="1">
        <v>1187</v>
      </c>
      <c r="AC5" s="1">
        <v>1606</v>
      </c>
      <c r="AD5" s="1">
        <f>+SUM(O5:R5)</f>
        <v>1942</v>
      </c>
    </row>
    <row r="6" spans="1:46" x14ac:dyDescent="0.2">
      <c r="B6" s="1" t="s">
        <v>41</v>
      </c>
      <c r="J6" s="1">
        <v>91</v>
      </c>
      <c r="K6" s="1">
        <v>84</v>
      </c>
      <c r="L6" s="1">
        <v>82</v>
      </c>
      <c r="M6" s="1">
        <v>76</v>
      </c>
      <c r="N6" s="1">
        <v>73</v>
      </c>
      <c r="O6" s="1">
        <v>79</v>
      </c>
      <c r="P6" s="1">
        <v>83</v>
      </c>
      <c r="Q6" s="1">
        <v>88</v>
      </c>
      <c r="R6" s="1">
        <v>95</v>
      </c>
      <c r="S6" s="1">
        <v>90</v>
      </c>
      <c r="X6" s="1">
        <v>205.23699999999999</v>
      </c>
      <c r="Y6" s="1">
        <v>247.00299999999999</v>
      </c>
      <c r="Z6" s="1">
        <v>256.27800000000002</v>
      </c>
      <c r="AA6" s="1">
        <v>331</v>
      </c>
      <c r="AB6" s="1">
        <v>386</v>
      </c>
      <c r="AC6" s="1">
        <v>315</v>
      </c>
      <c r="AD6" s="1">
        <f>+SUM(O6:R6)</f>
        <v>345</v>
      </c>
    </row>
    <row r="7" spans="1:46" x14ac:dyDescent="0.2">
      <c r="B7" s="1" t="s">
        <v>1</v>
      </c>
      <c r="J7" s="1">
        <f t="shared" ref="J7:Q7" si="6">+SUM(J5:J6)</f>
        <v>415</v>
      </c>
      <c r="K7" s="1">
        <f t="shared" si="6"/>
        <v>438</v>
      </c>
      <c r="L7" s="1">
        <f t="shared" si="6"/>
        <v>471</v>
      </c>
      <c r="M7" s="1">
        <f t="shared" si="6"/>
        <v>496</v>
      </c>
      <c r="N7" s="1">
        <f t="shared" si="6"/>
        <v>516</v>
      </c>
      <c r="O7" s="1">
        <f t="shared" si="6"/>
        <v>520</v>
      </c>
      <c r="P7" s="1">
        <f t="shared" si="6"/>
        <v>552</v>
      </c>
      <c r="Q7" s="1">
        <f t="shared" si="6"/>
        <v>584</v>
      </c>
      <c r="R7" s="1">
        <f t="shared" ref="R7:S7" si="7">+SUM(R5:R6)</f>
        <v>631</v>
      </c>
      <c r="S7" s="1">
        <f t="shared" si="7"/>
        <v>651</v>
      </c>
      <c r="X7" s="1">
        <f t="shared" ref="X7:AC7" si="8">+SUM(X5:X6)</f>
        <v>622.65800000000002</v>
      </c>
      <c r="Y7" s="1">
        <f t="shared" si="8"/>
        <v>796.64499999999998</v>
      </c>
      <c r="Z7" s="1">
        <f t="shared" si="8"/>
        <v>987.11300000000006</v>
      </c>
      <c r="AA7" s="1">
        <f t="shared" si="8"/>
        <v>1353</v>
      </c>
      <c r="AB7" s="1">
        <f t="shared" si="8"/>
        <v>1573</v>
      </c>
      <c r="AC7" s="1">
        <f t="shared" si="8"/>
        <v>1921</v>
      </c>
      <c r="AD7" s="1">
        <f>+SUM(AD5:AD6)</f>
        <v>2287</v>
      </c>
      <c r="AE7" s="1">
        <f>+AD7*1.19</f>
        <v>2721.5299999999997</v>
      </c>
      <c r="AF7" s="1">
        <f t="shared" ref="AF7:AT7" si="9">+AE7*1.19</f>
        <v>3238.6206999999995</v>
      </c>
      <c r="AG7" s="1">
        <f t="shared" si="9"/>
        <v>3853.9586329999993</v>
      </c>
      <c r="AH7" s="1">
        <f t="shared" si="9"/>
        <v>4586.2107732699988</v>
      </c>
      <c r="AI7" s="1">
        <f t="shared" si="9"/>
        <v>5457.590820191298</v>
      </c>
      <c r="AJ7" s="1">
        <f t="shared" si="9"/>
        <v>6494.5330760276447</v>
      </c>
      <c r="AK7" s="1">
        <f t="shared" si="9"/>
        <v>7728.4943604728969</v>
      </c>
      <c r="AL7" s="1">
        <f t="shared" si="9"/>
        <v>9196.9082889627462</v>
      </c>
      <c r="AM7" s="1">
        <f t="shared" si="9"/>
        <v>10944.320863865667</v>
      </c>
      <c r="AN7" s="1">
        <f t="shared" si="9"/>
        <v>13023.741828000144</v>
      </c>
      <c r="AO7" s="1">
        <f t="shared" si="9"/>
        <v>15498.25277532017</v>
      </c>
      <c r="AP7" s="1">
        <f t="shared" si="9"/>
        <v>18442.920802631001</v>
      </c>
      <c r="AQ7" s="1">
        <f t="shared" si="9"/>
        <v>21947.075755130889</v>
      </c>
      <c r="AR7" s="1">
        <f t="shared" si="9"/>
        <v>26117.020148605756</v>
      </c>
      <c r="AS7" s="1">
        <f t="shared" si="9"/>
        <v>31079.25397684085</v>
      </c>
      <c r="AT7" s="1">
        <f t="shared" si="9"/>
        <v>36984.312232440607</v>
      </c>
    </row>
    <row r="8" spans="1:46" x14ac:dyDescent="0.2">
      <c r="B8" s="1" t="s">
        <v>2</v>
      </c>
      <c r="J8" s="1">
        <f t="shared" ref="J8:Q8" si="10">+J4-J7</f>
        <v>1525</v>
      </c>
      <c r="K8" s="1">
        <f t="shared" si="10"/>
        <v>1658</v>
      </c>
      <c r="L8" s="1">
        <f t="shared" si="10"/>
        <v>1679</v>
      </c>
      <c r="M8" s="1">
        <f t="shared" si="10"/>
        <v>1792</v>
      </c>
      <c r="N8" s="1">
        <f t="shared" si="10"/>
        <v>1921</v>
      </c>
      <c r="O8" s="1">
        <f t="shared" si="10"/>
        <v>2083</v>
      </c>
      <c r="P8" s="1">
        <f t="shared" si="10"/>
        <v>2075</v>
      </c>
      <c r="Q8" s="1">
        <f t="shared" si="10"/>
        <v>2213</v>
      </c>
      <c r="R8" s="1">
        <f t="shared" ref="R8:S8" si="11">+R4-R7</f>
        <v>2326</v>
      </c>
      <c r="S8" s="1">
        <f t="shared" si="11"/>
        <v>2437</v>
      </c>
      <c r="X8" s="1">
        <f t="shared" ref="X8:AC8" si="12">+X4-X7</f>
        <v>1986.1580000000004</v>
      </c>
      <c r="Y8" s="1">
        <f t="shared" si="12"/>
        <v>2663.7920000000004</v>
      </c>
      <c r="Z8" s="1">
        <f t="shared" si="12"/>
        <v>3532.3709999999992</v>
      </c>
      <c r="AA8" s="1">
        <f t="shared" si="12"/>
        <v>4543</v>
      </c>
      <c r="AB8" s="1">
        <f t="shared" si="12"/>
        <v>5672</v>
      </c>
      <c r="AC8" s="1">
        <f t="shared" si="12"/>
        <v>7050</v>
      </c>
      <c r="AD8" s="1">
        <f>+AD4-AD7</f>
        <v>8697</v>
      </c>
      <c r="AE8" s="1">
        <f t="shared" ref="AE8:AS8" si="13">+AE4-AE7</f>
        <v>10349.43</v>
      </c>
      <c r="AF8" s="1">
        <f t="shared" si="13"/>
        <v>12446.531299999999</v>
      </c>
      <c r="AG8" s="1">
        <f t="shared" si="13"/>
        <v>14968.223766999999</v>
      </c>
      <c r="AH8" s="1">
        <f t="shared" si="13"/>
        <v>18000.408106729999</v>
      </c>
      <c r="AI8" s="1">
        <f t="shared" si="13"/>
        <v>21646.351835808699</v>
      </c>
      <c r="AJ8" s="1">
        <f t="shared" si="13"/>
        <v>26030.198111172347</v>
      </c>
      <c r="AK8" s="1">
        <f t="shared" si="13"/>
        <v>31301.183064167089</v>
      </c>
      <c r="AL8" s="1">
        <f t="shared" si="13"/>
        <v>37638.70462060524</v>
      </c>
      <c r="AM8" s="1">
        <f t="shared" si="13"/>
        <v>45258.414627615915</v>
      </c>
      <c r="AN8" s="1">
        <f t="shared" si="13"/>
        <v>54419.540761777753</v>
      </c>
      <c r="AO8" s="1">
        <f t="shared" si="13"/>
        <v>65433.686332413301</v>
      </c>
      <c r="AP8" s="1">
        <f t="shared" si="13"/>
        <v>78675.406126649177</v>
      </c>
      <c r="AQ8" s="1">
        <f t="shared" si="13"/>
        <v>94594.916560005309</v>
      </c>
      <c r="AR8" s="1">
        <f t="shared" si="13"/>
        <v>113733.3706295577</v>
      </c>
      <c r="AS8" s="1">
        <f t="shared" si="13"/>
        <v>136741.21495695529</v>
      </c>
      <c r="AT8" s="1">
        <f t="shared" ref="AT8" si="14">+AT4-AT7</f>
        <v>164400.25048811475</v>
      </c>
    </row>
    <row r="9" spans="1:46" x14ac:dyDescent="0.2">
      <c r="B9" s="1" t="s">
        <v>42</v>
      </c>
      <c r="J9" s="1">
        <v>722</v>
      </c>
      <c r="K9" s="1">
        <v>823</v>
      </c>
      <c r="L9" s="1">
        <v>832</v>
      </c>
      <c r="M9" s="1">
        <v>799</v>
      </c>
      <c r="N9" s="1">
        <v>847</v>
      </c>
      <c r="O9" s="1">
        <v>923</v>
      </c>
      <c r="P9" s="1">
        <v>960</v>
      </c>
      <c r="Q9" s="1">
        <v>944</v>
      </c>
      <c r="R9" s="1">
        <v>1027</v>
      </c>
      <c r="S9" s="1">
        <v>1054</v>
      </c>
      <c r="X9" s="1">
        <v>1203.056</v>
      </c>
      <c r="Y9" s="1">
        <v>1534.2840000000001</v>
      </c>
      <c r="Z9" s="1">
        <v>1855.0160000000001</v>
      </c>
      <c r="AA9" s="1">
        <v>2292</v>
      </c>
      <c r="AB9" s="1">
        <v>2814</v>
      </c>
      <c r="AC9" s="1">
        <v>3301</v>
      </c>
      <c r="AD9" s="1">
        <f>+SUM(O9:R9)</f>
        <v>3854</v>
      </c>
      <c r="AE9" s="1">
        <f t="shared" ref="AE9:AI9" si="15">+AD9*1.2</f>
        <v>4624.8</v>
      </c>
      <c r="AF9" s="1">
        <f t="shared" si="15"/>
        <v>5549.76</v>
      </c>
      <c r="AG9" s="1">
        <f t="shared" si="15"/>
        <v>6659.7120000000004</v>
      </c>
      <c r="AH9" s="1">
        <f t="shared" si="15"/>
        <v>7991.6544000000004</v>
      </c>
      <c r="AI9" s="1">
        <f t="shared" si="15"/>
        <v>9589.9852800000008</v>
      </c>
      <c r="AJ9" s="1">
        <f>+AI9*1.15</f>
        <v>11028.483072000001</v>
      </c>
      <c r="AK9" s="1">
        <f t="shared" ref="AK9:AT9" si="16">+AJ9*1.15</f>
        <v>12682.7555328</v>
      </c>
      <c r="AL9" s="1">
        <f t="shared" si="16"/>
        <v>14585.168862719998</v>
      </c>
      <c r="AM9" s="1">
        <f t="shared" si="16"/>
        <v>16772.944192127998</v>
      </c>
      <c r="AN9" s="1">
        <f t="shared" si="16"/>
        <v>19288.885820947195</v>
      </c>
      <c r="AO9" s="1">
        <f t="shared" si="16"/>
        <v>22182.218694089272</v>
      </c>
      <c r="AP9" s="1">
        <f t="shared" si="16"/>
        <v>25509.551498202662</v>
      </c>
      <c r="AQ9" s="1">
        <f t="shared" si="16"/>
        <v>29335.984222933057</v>
      </c>
      <c r="AR9" s="1">
        <f t="shared" si="16"/>
        <v>33736.381856373016</v>
      </c>
      <c r="AS9" s="1">
        <f t="shared" si="16"/>
        <v>38796.839134828966</v>
      </c>
      <c r="AT9" s="1">
        <f t="shared" si="16"/>
        <v>44616.365005053311</v>
      </c>
    </row>
    <row r="10" spans="1:46" x14ac:dyDescent="0.2">
      <c r="B10" s="1" t="s">
        <v>3</v>
      </c>
      <c r="J10" s="1">
        <v>454</v>
      </c>
      <c r="K10" s="1">
        <v>492</v>
      </c>
      <c r="L10" s="1">
        <v>521</v>
      </c>
      <c r="M10" s="1">
        <v>549</v>
      </c>
      <c r="N10" s="1">
        <v>562</v>
      </c>
      <c r="O10" s="1">
        <v>606</v>
      </c>
      <c r="P10" s="1">
        <v>643</v>
      </c>
      <c r="Q10" s="1">
        <v>626</v>
      </c>
      <c r="R10" s="1">
        <v>668</v>
      </c>
      <c r="S10" s="1">
        <v>703</v>
      </c>
      <c r="X10" s="1">
        <v>529.50099999999998</v>
      </c>
      <c r="Y10" s="1">
        <v>748.36900000000003</v>
      </c>
      <c r="Z10" s="1">
        <v>1024.327</v>
      </c>
      <c r="AA10" s="1">
        <v>1397</v>
      </c>
      <c r="AB10" s="1">
        <v>1768</v>
      </c>
      <c r="AC10" s="1">
        <v>2124</v>
      </c>
      <c r="AD10" s="1">
        <f>+SUM(O10:R10)</f>
        <v>2543</v>
      </c>
      <c r="AE10" s="1">
        <f t="shared" ref="AE10:AI10" si="17">+AD10*1.25</f>
        <v>3178.75</v>
      </c>
      <c r="AF10" s="1">
        <f t="shared" si="17"/>
        <v>3973.4375</v>
      </c>
      <c r="AG10" s="1">
        <f t="shared" si="17"/>
        <v>4966.796875</v>
      </c>
      <c r="AH10" s="1">
        <f t="shared" si="17"/>
        <v>6208.49609375</v>
      </c>
      <c r="AI10" s="1">
        <f t="shared" si="17"/>
        <v>7760.6201171875</v>
      </c>
      <c r="AJ10" s="1">
        <f>+AI10*1.2</f>
        <v>9312.744140625</v>
      </c>
      <c r="AK10" s="1">
        <f t="shared" ref="AK10:AT10" si="18">+AJ10*1.2</f>
        <v>11175.29296875</v>
      </c>
      <c r="AL10" s="1">
        <f t="shared" si="18"/>
        <v>13410.3515625</v>
      </c>
      <c r="AM10" s="1">
        <f t="shared" si="18"/>
        <v>16092.421875</v>
      </c>
      <c r="AN10" s="1">
        <f t="shared" si="18"/>
        <v>19310.90625</v>
      </c>
      <c r="AO10" s="1">
        <f t="shared" si="18"/>
        <v>23173.087499999998</v>
      </c>
      <c r="AP10" s="1">
        <f t="shared" si="18"/>
        <v>27807.704999999998</v>
      </c>
      <c r="AQ10" s="1">
        <f t="shared" si="18"/>
        <v>33369.245999999999</v>
      </c>
      <c r="AR10" s="1">
        <f t="shared" si="18"/>
        <v>40043.095199999996</v>
      </c>
      <c r="AS10" s="1">
        <f t="shared" si="18"/>
        <v>48051.714239999994</v>
      </c>
      <c r="AT10" s="1">
        <f t="shared" si="18"/>
        <v>57662.057087999994</v>
      </c>
    </row>
    <row r="11" spans="1:46" x14ac:dyDescent="0.2">
      <c r="B11" s="1" t="s">
        <v>43</v>
      </c>
      <c r="J11" s="1">
        <v>194</v>
      </c>
      <c r="K11" s="1">
        <v>199</v>
      </c>
      <c r="L11" s="1">
        <v>209</v>
      </c>
      <c r="M11" s="1">
        <v>213</v>
      </c>
      <c r="N11" s="1">
        <v>242</v>
      </c>
      <c r="O11" s="1">
        <v>222</v>
      </c>
      <c r="P11" s="1">
        <v>232</v>
      </c>
      <c r="Q11" s="1">
        <v>225</v>
      </c>
      <c r="R11" s="1">
        <v>257</v>
      </c>
      <c r="S11" s="1">
        <v>229</v>
      </c>
      <c r="X11" s="1">
        <v>296.02699999999999</v>
      </c>
      <c r="Y11" s="1">
        <v>339.01600000000002</v>
      </c>
      <c r="Z11" s="1">
        <v>454.16500000000002</v>
      </c>
      <c r="AA11" s="1">
        <v>597</v>
      </c>
      <c r="AB11" s="1">
        <v>735</v>
      </c>
      <c r="AC11" s="1">
        <v>863</v>
      </c>
      <c r="AD11" s="1">
        <f>+SUM(O11:R11)</f>
        <v>936</v>
      </c>
      <c r="AE11" s="1">
        <f t="shared" ref="AE11:AI11" si="19">+AD11*1.15</f>
        <v>1076.3999999999999</v>
      </c>
      <c r="AF11" s="1">
        <f t="shared" si="19"/>
        <v>1237.8599999999997</v>
      </c>
      <c r="AG11" s="1">
        <f t="shared" si="19"/>
        <v>1423.5389999999995</v>
      </c>
      <c r="AH11" s="1">
        <f t="shared" si="19"/>
        <v>1637.0698499999994</v>
      </c>
      <c r="AI11" s="1">
        <f t="shared" si="19"/>
        <v>1882.6303274999991</v>
      </c>
      <c r="AJ11" s="1">
        <f>+AI11*1.1</f>
        <v>2070.8933602499992</v>
      </c>
      <c r="AK11" s="1">
        <f t="shared" ref="AK11:AT11" si="20">+AJ11*1.1</f>
        <v>2277.9826962749994</v>
      </c>
      <c r="AL11" s="1">
        <f t="shared" si="20"/>
        <v>2505.7809659024997</v>
      </c>
      <c r="AM11" s="1">
        <f t="shared" si="20"/>
        <v>2756.3590624927497</v>
      </c>
      <c r="AN11" s="1">
        <f t="shared" si="20"/>
        <v>3031.9949687420249</v>
      </c>
      <c r="AO11" s="1">
        <f t="shared" si="20"/>
        <v>3335.1944656162277</v>
      </c>
      <c r="AP11" s="1">
        <f t="shared" si="20"/>
        <v>3668.7139121778509</v>
      </c>
      <c r="AQ11" s="1">
        <f t="shared" si="20"/>
        <v>4035.5853033956364</v>
      </c>
      <c r="AR11" s="1">
        <f t="shared" si="20"/>
        <v>4439.1438337352001</v>
      </c>
      <c r="AS11" s="1">
        <f t="shared" si="20"/>
        <v>4883.0582171087208</v>
      </c>
      <c r="AT11" s="1">
        <f t="shared" si="20"/>
        <v>5371.3640388195936</v>
      </c>
    </row>
    <row r="12" spans="1:46" x14ac:dyDescent="0.2">
      <c r="B12" s="1" t="s">
        <v>4</v>
      </c>
      <c r="J12" s="1">
        <f t="shared" ref="J12:Q12" si="21">+SUM(J9:J11)</f>
        <v>1370</v>
      </c>
      <c r="K12" s="1">
        <f t="shared" si="21"/>
        <v>1514</v>
      </c>
      <c r="L12" s="1">
        <f t="shared" si="21"/>
        <v>1562</v>
      </c>
      <c r="M12" s="1">
        <f t="shared" si="21"/>
        <v>1561</v>
      </c>
      <c r="N12" s="1">
        <f t="shared" si="21"/>
        <v>1651</v>
      </c>
      <c r="O12" s="1">
        <f t="shared" si="21"/>
        <v>1751</v>
      </c>
      <c r="P12" s="1">
        <f t="shared" si="21"/>
        <v>1835</v>
      </c>
      <c r="Q12" s="1">
        <f t="shared" si="21"/>
        <v>1795</v>
      </c>
      <c r="R12" s="1">
        <f t="shared" ref="R12:S12" si="22">+SUM(R9:R11)</f>
        <v>1952</v>
      </c>
      <c r="S12" s="1">
        <f t="shared" si="22"/>
        <v>1986</v>
      </c>
      <c r="X12" s="1">
        <f t="shared" ref="X12:AC12" si="23">+SUM(X9:X11)</f>
        <v>2028.5840000000001</v>
      </c>
      <c r="Y12" s="1">
        <f t="shared" si="23"/>
        <v>2621.6690000000003</v>
      </c>
      <c r="Z12" s="1">
        <f t="shared" si="23"/>
        <v>3333.5079999999998</v>
      </c>
      <c r="AA12" s="1">
        <f t="shared" si="23"/>
        <v>4286</v>
      </c>
      <c r="AB12" s="1">
        <f t="shared" si="23"/>
        <v>5317</v>
      </c>
      <c r="AC12" s="1">
        <f t="shared" si="23"/>
        <v>6288</v>
      </c>
      <c r="AD12" s="1">
        <f>+SUM(AD9:AD11)</f>
        <v>7333</v>
      </c>
      <c r="AE12" s="1">
        <f t="shared" ref="AE12:AS12" si="24">+SUM(AE9:AE11)</f>
        <v>8879.9500000000007</v>
      </c>
      <c r="AF12" s="1">
        <f t="shared" si="24"/>
        <v>10761.057499999999</v>
      </c>
      <c r="AG12" s="1">
        <f t="shared" si="24"/>
        <v>13050.047874999998</v>
      </c>
      <c r="AH12" s="1">
        <f t="shared" si="24"/>
        <v>15837.220343749999</v>
      </c>
      <c r="AI12" s="1">
        <f t="shared" si="24"/>
        <v>19233.2357246875</v>
      </c>
      <c r="AJ12" s="1">
        <f t="shared" si="24"/>
        <v>22412.120572875003</v>
      </c>
      <c r="AK12" s="1">
        <f t="shared" si="24"/>
        <v>26136.031197825003</v>
      </c>
      <c r="AL12" s="1">
        <f t="shared" si="24"/>
        <v>30501.301391122499</v>
      </c>
      <c r="AM12" s="1">
        <f t="shared" si="24"/>
        <v>35621.725129620747</v>
      </c>
      <c r="AN12" s="1">
        <f t="shared" si="24"/>
        <v>41631.787039689218</v>
      </c>
      <c r="AO12" s="1">
        <f t="shared" si="24"/>
        <v>48690.500659705496</v>
      </c>
      <c r="AP12" s="1">
        <f t="shared" si="24"/>
        <v>56985.970410380512</v>
      </c>
      <c r="AQ12" s="1">
        <f t="shared" si="24"/>
        <v>66740.81552632869</v>
      </c>
      <c r="AR12" s="1">
        <f t="shared" si="24"/>
        <v>78218.620890108214</v>
      </c>
      <c r="AS12" s="1">
        <f t="shared" si="24"/>
        <v>91731.611591937675</v>
      </c>
      <c r="AT12" s="1">
        <f t="shared" ref="AT12" si="25">+SUM(AT9:AT11)</f>
        <v>107649.7861318729</v>
      </c>
    </row>
    <row r="13" spans="1:46" s="6" customFormat="1" x14ac:dyDescent="0.2">
      <c r="B13" s="6" t="s">
        <v>5</v>
      </c>
      <c r="J13" s="6">
        <f t="shared" ref="J13:Q13" si="26">+J8-J12</f>
        <v>155</v>
      </c>
      <c r="K13" s="6">
        <f t="shared" si="26"/>
        <v>144</v>
      </c>
      <c r="L13" s="6">
        <f t="shared" si="26"/>
        <v>117</v>
      </c>
      <c r="M13" s="6">
        <f t="shared" si="26"/>
        <v>231</v>
      </c>
      <c r="N13" s="6">
        <f t="shared" si="26"/>
        <v>270</v>
      </c>
      <c r="O13" s="6">
        <f t="shared" si="26"/>
        <v>332</v>
      </c>
      <c r="P13" s="6">
        <f t="shared" si="26"/>
        <v>240</v>
      </c>
      <c r="Q13" s="6">
        <f t="shared" si="26"/>
        <v>418</v>
      </c>
      <c r="R13" s="6">
        <f t="shared" ref="R13:S13" si="27">+R8-R12</f>
        <v>374</v>
      </c>
      <c r="S13" s="6">
        <f t="shared" si="27"/>
        <v>451</v>
      </c>
      <c r="X13" s="6">
        <f t="shared" ref="X13:AC13" si="28">+X8-X12</f>
        <v>-42.425999999999704</v>
      </c>
      <c r="Y13" s="6">
        <f t="shared" si="28"/>
        <v>42.123000000000047</v>
      </c>
      <c r="Z13" s="6">
        <f t="shared" si="28"/>
        <v>198.86299999999937</v>
      </c>
      <c r="AA13" s="6">
        <f t="shared" si="28"/>
        <v>257</v>
      </c>
      <c r="AB13" s="6">
        <f t="shared" si="28"/>
        <v>355</v>
      </c>
      <c r="AC13" s="6">
        <f t="shared" si="28"/>
        <v>762</v>
      </c>
      <c r="AD13" s="6">
        <f>+AD8-AD12</f>
        <v>1364</v>
      </c>
      <c r="AE13" s="6">
        <f t="shared" ref="AE13:AS13" si="29">+AE8-AE12</f>
        <v>1469.4799999999996</v>
      </c>
      <c r="AF13" s="6">
        <f t="shared" si="29"/>
        <v>1685.4737999999998</v>
      </c>
      <c r="AG13" s="6">
        <f t="shared" si="29"/>
        <v>1918.1758920000011</v>
      </c>
      <c r="AH13" s="6">
        <f t="shared" si="29"/>
        <v>2163.1877629800001</v>
      </c>
      <c r="AI13" s="6">
        <f t="shared" si="29"/>
        <v>2413.1161111211986</v>
      </c>
      <c r="AJ13" s="6">
        <f t="shared" si="29"/>
        <v>3618.0775382973443</v>
      </c>
      <c r="AK13" s="6">
        <f t="shared" si="29"/>
        <v>5165.1518663420866</v>
      </c>
      <c r="AL13" s="6">
        <f t="shared" si="29"/>
        <v>7137.4032294827412</v>
      </c>
      <c r="AM13" s="6">
        <f t="shared" si="29"/>
        <v>9636.6894979951685</v>
      </c>
      <c r="AN13" s="6">
        <f t="shared" si="29"/>
        <v>12787.753722088535</v>
      </c>
      <c r="AO13" s="6">
        <f t="shared" si="29"/>
        <v>16743.185672707805</v>
      </c>
      <c r="AP13" s="6">
        <f t="shared" si="29"/>
        <v>21689.435716268665</v>
      </c>
      <c r="AQ13" s="6">
        <f t="shared" si="29"/>
        <v>27854.101033676619</v>
      </c>
      <c r="AR13" s="6">
        <f t="shared" si="29"/>
        <v>35514.749739449486</v>
      </c>
      <c r="AS13" s="6">
        <f t="shared" si="29"/>
        <v>45009.60336501761</v>
      </c>
      <c r="AT13" s="6">
        <f t="shared" ref="AT13" si="30">+AT8-AT12</f>
        <v>56750.46435624185</v>
      </c>
    </row>
    <row r="14" spans="1:46" x14ac:dyDescent="0.2">
      <c r="B14" s="1" t="s">
        <v>6</v>
      </c>
      <c r="J14" s="1">
        <v>155</v>
      </c>
      <c r="K14" s="1">
        <v>60</v>
      </c>
      <c r="L14" s="1">
        <v>74</v>
      </c>
      <c r="M14" s="1">
        <v>82</v>
      </c>
      <c r="N14" s="1">
        <v>270</v>
      </c>
      <c r="O14" s="1">
        <v>101</v>
      </c>
      <c r="P14" s="1">
        <v>104</v>
      </c>
      <c r="Q14" s="1">
        <v>108</v>
      </c>
      <c r="R14" s="1">
        <v>106</v>
      </c>
      <c r="S14" s="1">
        <v>115</v>
      </c>
      <c r="X14" s="1">
        <v>-52.732999999999997</v>
      </c>
      <c r="Y14" s="1">
        <v>-33.283000000000001</v>
      </c>
      <c r="Z14" s="1">
        <v>-32.746000000000002</v>
      </c>
      <c r="AA14" s="1">
        <v>20</v>
      </c>
      <c r="AB14" s="1">
        <v>82</v>
      </c>
      <c r="AC14" s="1">
        <v>302</v>
      </c>
      <c r="AD14" s="1">
        <f>+SUM(O14:R14)</f>
        <v>419</v>
      </c>
      <c r="AE14" s="1">
        <f>+AD28*0.08</f>
        <v>117.60000000000001</v>
      </c>
      <c r="AF14" s="1">
        <f>+AE28*0.08</f>
        <v>219.17311999999998</v>
      </c>
      <c r="AG14" s="1">
        <f t="shared" ref="AG14:AT14" si="31">+AF28*0.08</f>
        <v>341.07052287999994</v>
      </c>
      <c r="AH14" s="1">
        <f t="shared" si="31"/>
        <v>485.66229343231998</v>
      </c>
      <c r="AI14" s="1">
        <f t="shared" si="31"/>
        <v>655.18869704270855</v>
      </c>
      <c r="AJ14" s="1">
        <f t="shared" si="31"/>
        <v>851.56020476519859</v>
      </c>
      <c r="AK14" s="1">
        <f t="shared" si="31"/>
        <v>1137.6170203212014</v>
      </c>
      <c r="AL14" s="1">
        <f t="shared" si="31"/>
        <v>1540.9942290676518</v>
      </c>
      <c r="AM14" s="1">
        <f t="shared" si="31"/>
        <v>2096.4116664148769</v>
      </c>
      <c r="AN14" s="1">
        <f t="shared" si="31"/>
        <v>2847.3301409371197</v>
      </c>
      <c r="AO14" s="1">
        <f t="shared" si="31"/>
        <v>3847.9755081707617</v>
      </c>
      <c r="AP14" s="1">
        <f t="shared" si="31"/>
        <v>5165.8098237469894</v>
      </c>
      <c r="AQ14" s="1">
        <f t="shared" si="31"/>
        <v>6884.5455383079916</v>
      </c>
      <c r="AR14" s="1">
        <f t="shared" si="31"/>
        <v>9107.8189189150071</v>
      </c>
      <c r="AS14" s="1">
        <f t="shared" si="31"/>
        <v>11963.663313050336</v>
      </c>
      <c r="AT14" s="1">
        <f t="shared" si="31"/>
        <v>15609.952380446684</v>
      </c>
    </row>
    <row r="15" spans="1:46" x14ac:dyDescent="0.2">
      <c r="B15" s="1" t="s">
        <v>7</v>
      </c>
      <c r="J15" s="1">
        <f t="shared" ref="J15:Q15" si="32">+J13+J14</f>
        <v>310</v>
      </c>
      <c r="K15" s="1">
        <f t="shared" si="32"/>
        <v>204</v>
      </c>
      <c r="L15" s="1">
        <f t="shared" si="32"/>
        <v>191</v>
      </c>
      <c r="M15" s="1">
        <f t="shared" si="32"/>
        <v>313</v>
      </c>
      <c r="N15" s="1">
        <f t="shared" si="32"/>
        <v>540</v>
      </c>
      <c r="O15" s="1">
        <f t="shared" si="32"/>
        <v>433</v>
      </c>
      <c r="P15" s="1">
        <f t="shared" si="32"/>
        <v>344</v>
      </c>
      <c r="Q15" s="1">
        <f t="shared" si="32"/>
        <v>526</v>
      </c>
      <c r="R15" s="1">
        <f t="shared" ref="R15:S15" si="33">+R13+R14</f>
        <v>480</v>
      </c>
      <c r="S15" s="1">
        <f t="shared" si="33"/>
        <v>566</v>
      </c>
      <c r="X15" s="1">
        <f t="shared" ref="X15:AD15" si="34">+X13+X14</f>
        <v>-95.158999999999708</v>
      </c>
      <c r="Y15" s="1">
        <f t="shared" si="34"/>
        <v>8.840000000000046</v>
      </c>
      <c r="Z15" s="1">
        <f t="shared" si="34"/>
        <v>166.11699999999936</v>
      </c>
      <c r="AA15" s="1">
        <f t="shared" si="34"/>
        <v>277</v>
      </c>
      <c r="AB15" s="1">
        <f t="shared" si="34"/>
        <v>437</v>
      </c>
      <c r="AC15" s="1">
        <f t="shared" si="34"/>
        <v>1064</v>
      </c>
      <c r="AD15" s="1">
        <f t="shared" si="34"/>
        <v>1783</v>
      </c>
      <c r="AE15" s="1">
        <f t="shared" ref="AE15:AS15" si="35">+AE13+AE14</f>
        <v>1587.0799999999995</v>
      </c>
      <c r="AF15" s="1">
        <f t="shared" si="35"/>
        <v>1904.6469199999997</v>
      </c>
      <c r="AG15" s="1">
        <f t="shared" si="35"/>
        <v>2259.2464148800009</v>
      </c>
      <c r="AH15" s="1">
        <f t="shared" si="35"/>
        <v>2648.8500564123201</v>
      </c>
      <c r="AI15" s="1">
        <f t="shared" si="35"/>
        <v>3068.3048081639072</v>
      </c>
      <c r="AJ15" s="1">
        <f t="shared" si="35"/>
        <v>4469.6377430625425</v>
      </c>
      <c r="AK15" s="1">
        <f t="shared" si="35"/>
        <v>6302.768886663288</v>
      </c>
      <c r="AL15" s="1">
        <f t="shared" si="35"/>
        <v>8678.3974585503929</v>
      </c>
      <c r="AM15" s="1">
        <f t="shared" si="35"/>
        <v>11733.101164410045</v>
      </c>
      <c r="AN15" s="1">
        <f t="shared" si="35"/>
        <v>15635.083863025655</v>
      </c>
      <c r="AO15" s="1">
        <f t="shared" si="35"/>
        <v>20591.161180878567</v>
      </c>
      <c r="AP15" s="1">
        <f t="shared" si="35"/>
        <v>26855.245540015654</v>
      </c>
      <c r="AQ15" s="1">
        <f t="shared" si="35"/>
        <v>34738.646571984609</v>
      </c>
      <c r="AR15" s="1">
        <f t="shared" si="35"/>
        <v>44622.568658364493</v>
      </c>
      <c r="AS15" s="1">
        <f t="shared" si="35"/>
        <v>56973.266678067943</v>
      </c>
      <c r="AT15" s="1">
        <f t="shared" ref="AT15" si="36">+AT13+AT14</f>
        <v>72360.416736688538</v>
      </c>
    </row>
    <row r="16" spans="1:46" x14ac:dyDescent="0.2">
      <c r="B16" s="1" t="s">
        <v>8</v>
      </c>
      <c r="J16" s="1">
        <v>33</v>
      </c>
      <c r="K16" s="1">
        <v>38</v>
      </c>
      <c r="L16" s="1">
        <v>-870</v>
      </c>
      <c r="M16" s="1">
        <v>57</v>
      </c>
      <c r="N16" s="1">
        <v>52</v>
      </c>
      <c r="O16" s="1">
        <v>78</v>
      </c>
      <c r="P16" s="1">
        <v>72</v>
      </c>
      <c r="Q16" s="1">
        <v>84</v>
      </c>
      <c r="R16" s="1">
        <v>79</v>
      </c>
      <c r="S16" s="1">
        <v>95</v>
      </c>
      <c r="X16" s="1">
        <v>-12.32</v>
      </c>
      <c r="Y16" s="1">
        <v>-559.51300000000003</v>
      </c>
      <c r="Z16" s="1">
        <v>30.681999999999999</v>
      </c>
      <c r="AA16" s="1">
        <v>19</v>
      </c>
      <c r="AB16" s="1">
        <v>74</v>
      </c>
      <c r="AC16" s="1">
        <v>-723</v>
      </c>
      <c r="AD16" s="1">
        <f>+SUM(O16:R16)</f>
        <v>313</v>
      </c>
      <c r="AE16" s="1">
        <f t="shared" ref="AE16:AS16" si="37">+AE15*0.2</f>
        <v>317.41599999999994</v>
      </c>
      <c r="AF16" s="1">
        <f t="shared" si="37"/>
        <v>380.92938399999997</v>
      </c>
      <c r="AG16" s="1">
        <f t="shared" si="37"/>
        <v>451.84928297600021</v>
      </c>
      <c r="AH16" s="1">
        <f t="shared" si="37"/>
        <v>529.770011282464</v>
      </c>
      <c r="AI16" s="1">
        <f t="shared" si="37"/>
        <v>613.66096163278144</v>
      </c>
      <c r="AJ16" s="1">
        <f t="shared" si="37"/>
        <v>893.92754861250853</v>
      </c>
      <c r="AK16" s="1">
        <f t="shared" si="37"/>
        <v>1260.5537773326578</v>
      </c>
      <c r="AL16" s="1">
        <f t="shared" si="37"/>
        <v>1735.6794917100788</v>
      </c>
      <c r="AM16" s="1">
        <f t="shared" si="37"/>
        <v>2346.6202328820091</v>
      </c>
      <c r="AN16" s="1">
        <f t="shared" si="37"/>
        <v>3127.0167726051313</v>
      </c>
      <c r="AO16" s="1">
        <f t="shared" si="37"/>
        <v>4118.2322361757133</v>
      </c>
      <c r="AP16" s="1">
        <f t="shared" si="37"/>
        <v>5371.0491080031316</v>
      </c>
      <c r="AQ16" s="1">
        <f t="shared" si="37"/>
        <v>6947.7293143969218</v>
      </c>
      <c r="AR16" s="1">
        <f t="shared" si="37"/>
        <v>8924.5137316728997</v>
      </c>
      <c r="AS16" s="1">
        <f t="shared" si="37"/>
        <v>11394.65333561359</v>
      </c>
      <c r="AT16" s="1">
        <f t="shared" ref="AT16" si="38">+AT15*0.2</f>
        <v>14472.083347337708</v>
      </c>
    </row>
    <row r="17" spans="2:147" x14ac:dyDescent="0.2">
      <c r="B17" s="1" t="s">
        <v>9</v>
      </c>
      <c r="J17" s="1">
        <f t="shared" ref="J17:Q17" si="39">+J15-J16</f>
        <v>277</v>
      </c>
      <c r="K17" s="1">
        <f t="shared" si="39"/>
        <v>166</v>
      </c>
      <c r="L17" s="1">
        <f t="shared" si="39"/>
        <v>1061</v>
      </c>
      <c r="M17" s="1">
        <f t="shared" si="39"/>
        <v>256</v>
      </c>
      <c r="N17" s="1">
        <f t="shared" si="39"/>
        <v>488</v>
      </c>
      <c r="O17" s="1">
        <f t="shared" si="39"/>
        <v>355</v>
      </c>
      <c r="P17" s="1">
        <f t="shared" si="39"/>
        <v>272</v>
      </c>
      <c r="Q17" s="1">
        <f t="shared" si="39"/>
        <v>442</v>
      </c>
      <c r="R17" s="1">
        <f t="shared" ref="R17:S17" si="40">+R15-R16</f>
        <v>401</v>
      </c>
      <c r="S17" s="1">
        <f t="shared" si="40"/>
        <v>471</v>
      </c>
      <c r="X17" s="1">
        <f t="shared" ref="X17:AD17" si="41">+X15-X16</f>
        <v>-82.838999999999714</v>
      </c>
      <c r="Y17" s="1">
        <f t="shared" si="41"/>
        <v>568.35300000000007</v>
      </c>
      <c r="Z17" s="1">
        <f t="shared" si="41"/>
        <v>135.43499999999938</v>
      </c>
      <c r="AA17" s="1">
        <f t="shared" si="41"/>
        <v>258</v>
      </c>
      <c r="AB17" s="1">
        <f t="shared" si="41"/>
        <v>363</v>
      </c>
      <c r="AC17" s="1">
        <f t="shared" si="41"/>
        <v>1787</v>
      </c>
      <c r="AD17" s="1">
        <f t="shared" si="41"/>
        <v>1470</v>
      </c>
      <c r="AE17" s="1">
        <f t="shared" ref="AE17:AS17" si="42">+AE15-AE16</f>
        <v>1269.6639999999995</v>
      </c>
      <c r="AF17" s="1">
        <f t="shared" si="42"/>
        <v>1523.7175359999997</v>
      </c>
      <c r="AG17" s="1">
        <f t="shared" si="42"/>
        <v>1807.3971319040006</v>
      </c>
      <c r="AH17" s="1">
        <f t="shared" si="42"/>
        <v>2119.080045129856</v>
      </c>
      <c r="AI17" s="1">
        <f t="shared" si="42"/>
        <v>2454.6438465311257</v>
      </c>
      <c r="AJ17" s="1">
        <f t="shared" si="42"/>
        <v>3575.7101944500341</v>
      </c>
      <c r="AK17" s="1">
        <f t="shared" si="42"/>
        <v>5042.2151093306302</v>
      </c>
      <c r="AL17" s="1">
        <f t="shared" si="42"/>
        <v>6942.7179668403141</v>
      </c>
      <c r="AM17" s="1">
        <f t="shared" si="42"/>
        <v>9386.4809315280363</v>
      </c>
      <c r="AN17" s="1">
        <f t="shared" si="42"/>
        <v>12508.067090420524</v>
      </c>
      <c r="AO17" s="1">
        <f t="shared" si="42"/>
        <v>16472.928944702853</v>
      </c>
      <c r="AP17" s="1">
        <f t="shared" si="42"/>
        <v>21484.196432012523</v>
      </c>
      <c r="AQ17" s="1">
        <f t="shared" si="42"/>
        <v>27790.917257587687</v>
      </c>
      <c r="AR17" s="1">
        <f t="shared" si="42"/>
        <v>35698.054926691591</v>
      </c>
      <c r="AS17" s="1">
        <f t="shared" si="42"/>
        <v>45578.613342454351</v>
      </c>
      <c r="AT17" s="1">
        <f t="shared" ref="AT17" si="43">+AT15-AT16</f>
        <v>57888.333389350832</v>
      </c>
      <c r="AU17" s="1">
        <f t="shared" ref="AU17:BZ17" si="44">+AT17*(1+$AW$22)</f>
        <v>57309.450055457324</v>
      </c>
      <c r="AV17" s="1">
        <f t="shared" si="44"/>
        <v>56736.355554902751</v>
      </c>
      <c r="AW17" s="1">
        <f t="shared" si="44"/>
        <v>56168.991999353726</v>
      </c>
      <c r="AX17" s="1">
        <f t="shared" si="44"/>
        <v>55607.30207936019</v>
      </c>
      <c r="AY17" s="1">
        <f t="shared" si="44"/>
        <v>55051.229058566591</v>
      </c>
      <c r="AZ17" s="1">
        <f t="shared" si="44"/>
        <v>54500.716767980921</v>
      </c>
      <c r="BA17" s="1">
        <f t="shared" si="44"/>
        <v>53955.70960030111</v>
      </c>
      <c r="BB17" s="1">
        <f t="shared" si="44"/>
        <v>53416.152504298101</v>
      </c>
      <c r="BC17" s="1">
        <f t="shared" si="44"/>
        <v>52881.990979255119</v>
      </c>
      <c r="BD17" s="1">
        <f t="shared" si="44"/>
        <v>52353.171069462565</v>
      </c>
      <c r="BE17" s="1">
        <f t="shared" si="44"/>
        <v>51829.639358767941</v>
      </c>
      <c r="BF17" s="1">
        <f t="shared" si="44"/>
        <v>51311.342965180258</v>
      </c>
      <c r="BG17" s="1">
        <f t="shared" si="44"/>
        <v>50798.229535528451</v>
      </c>
      <c r="BH17" s="1">
        <f t="shared" si="44"/>
        <v>50290.247240173165</v>
      </c>
      <c r="BI17" s="1">
        <f t="shared" si="44"/>
        <v>49787.344767771436</v>
      </c>
      <c r="BJ17" s="1">
        <f t="shared" si="44"/>
        <v>49289.471320093719</v>
      </c>
      <c r="BK17" s="1">
        <f t="shared" si="44"/>
        <v>48796.576606892784</v>
      </c>
      <c r="BL17" s="1">
        <f t="shared" si="44"/>
        <v>48308.610840823858</v>
      </c>
      <c r="BM17" s="1">
        <f t="shared" si="44"/>
        <v>47825.524732415615</v>
      </c>
      <c r="BN17" s="1">
        <f t="shared" si="44"/>
        <v>47347.269485091456</v>
      </c>
      <c r="BO17" s="1">
        <f t="shared" si="44"/>
        <v>46873.796790240543</v>
      </c>
      <c r="BP17" s="1">
        <f t="shared" si="44"/>
        <v>46405.058822338135</v>
      </c>
      <c r="BQ17" s="1">
        <f t="shared" si="44"/>
        <v>45941.00823411475</v>
      </c>
      <c r="BR17" s="1">
        <f t="shared" si="44"/>
        <v>45481.5981517736</v>
      </c>
      <c r="BS17" s="1">
        <f t="shared" si="44"/>
        <v>45026.782170255865</v>
      </c>
      <c r="BT17" s="1">
        <f t="shared" si="44"/>
        <v>44576.514348553304</v>
      </c>
      <c r="BU17" s="1">
        <f t="shared" si="44"/>
        <v>44130.749205067768</v>
      </c>
      <c r="BV17" s="1">
        <f t="shared" si="44"/>
        <v>43689.441713017091</v>
      </c>
      <c r="BW17" s="1">
        <f t="shared" si="44"/>
        <v>43252.547295886921</v>
      </c>
      <c r="BX17" s="1">
        <f t="shared" si="44"/>
        <v>42820.021822928051</v>
      </c>
      <c r="BY17" s="1">
        <f t="shared" si="44"/>
        <v>42391.821604698773</v>
      </c>
      <c r="BZ17" s="1">
        <f t="shared" si="44"/>
        <v>41967.903388651786</v>
      </c>
      <c r="CA17" s="1">
        <f t="shared" ref="CA17:DF17" si="45">+BZ17*(1+$AW$22)</f>
        <v>41548.224354765269</v>
      </c>
      <c r="CB17" s="1">
        <f t="shared" si="45"/>
        <v>41132.742111217616</v>
      </c>
      <c r="CC17" s="1">
        <f t="shared" si="45"/>
        <v>40721.414690105441</v>
      </c>
      <c r="CD17" s="1">
        <f t="shared" si="45"/>
        <v>40314.200543204388</v>
      </c>
      <c r="CE17" s="1">
        <f t="shared" si="45"/>
        <v>39911.058537772347</v>
      </c>
      <c r="CF17" s="1">
        <f t="shared" si="45"/>
        <v>39511.947952394621</v>
      </c>
      <c r="CG17" s="1">
        <f t="shared" si="45"/>
        <v>39116.828472870671</v>
      </c>
      <c r="CH17" s="1">
        <f t="shared" si="45"/>
        <v>38725.660188141963</v>
      </c>
      <c r="CI17" s="1">
        <f t="shared" si="45"/>
        <v>38338.403586260545</v>
      </c>
      <c r="CJ17" s="1">
        <f t="shared" si="45"/>
        <v>37955.019550397941</v>
      </c>
      <c r="CK17" s="1">
        <f t="shared" si="45"/>
        <v>37575.469354893961</v>
      </c>
      <c r="CL17" s="1">
        <f t="shared" si="45"/>
        <v>37199.714661345024</v>
      </c>
      <c r="CM17" s="1">
        <f t="shared" si="45"/>
        <v>36827.717514731572</v>
      </c>
      <c r="CN17" s="1">
        <f t="shared" si="45"/>
        <v>36459.440339584253</v>
      </c>
      <c r="CO17" s="1">
        <f t="shared" si="45"/>
        <v>36094.845936188409</v>
      </c>
      <c r="CP17" s="1">
        <f t="shared" si="45"/>
        <v>35733.897476826525</v>
      </c>
      <c r="CQ17" s="1">
        <f t="shared" si="45"/>
        <v>35376.558502058258</v>
      </c>
      <c r="CR17" s="1">
        <f t="shared" si="45"/>
        <v>35022.792917037674</v>
      </c>
      <c r="CS17" s="1">
        <f t="shared" si="45"/>
        <v>34672.564987867299</v>
      </c>
      <c r="CT17" s="1">
        <f t="shared" si="45"/>
        <v>34325.839337988626</v>
      </c>
      <c r="CU17" s="1">
        <f t="shared" si="45"/>
        <v>33982.580944608737</v>
      </c>
      <c r="CV17" s="1">
        <f t="shared" si="45"/>
        <v>33642.755135162646</v>
      </c>
      <c r="CW17" s="1">
        <f t="shared" si="45"/>
        <v>33306.32758381102</v>
      </c>
      <c r="CX17" s="1">
        <f t="shared" si="45"/>
        <v>32973.26430797291</v>
      </c>
      <c r="CY17" s="1">
        <f t="shared" si="45"/>
        <v>32643.53166489318</v>
      </c>
      <c r="CZ17" s="1">
        <f t="shared" si="45"/>
        <v>32317.096348244249</v>
      </c>
      <c r="DA17" s="1">
        <f t="shared" si="45"/>
        <v>31993.925384761806</v>
      </c>
      <c r="DB17" s="1">
        <f t="shared" si="45"/>
        <v>31673.986130914189</v>
      </c>
      <c r="DC17" s="1">
        <f t="shared" si="45"/>
        <v>31357.246269605046</v>
      </c>
      <c r="DD17" s="1">
        <f t="shared" si="45"/>
        <v>31043.673806908995</v>
      </c>
      <c r="DE17" s="1">
        <f t="shared" si="45"/>
        <v>30733.237068839906</v>
      </c>
      <c r="DF17" s="1">
        <f t="shared" si="45"/>
        <v>30425.904698151506</v>
      </c>
      <c r="DG17" s="1">
        <f t="shared" ref="DG17:EQ17" si="46">+DF17*(1+$AW$22)</f>
        <v>30121.645651169991</v>
      </c>
      <c r="DH17" s="1">
        <f t="shared" si="46"/>
        <v>29820.429194658289</v>
      </c>
      <c r="DI17" s="1">
        <f t="shared" si="46"/>
        <v>29522.224902711707</v>
      </c>
      <c r="DJ17" s="1">
        <f t="shared" si="46"/>
        <v>29227.002653684591</v>
      </c>
      <c r="DK17" s="1">
        <f t="shared" si="46"/>
        <v>28934.732627147743</v>
      </c>
      <c r="DL17" s="1">
        <f t="shared" si="46"/>
        <v>28645.385300876267</v>
      </c>
      <c r="DM17" s="1">
        <f t="shared" si="46"/>
        <v>28358.931447867504</v>
      </c>
      <c r="DN17" s="1">
        <f t="shared" si="46"/>
        <v>28075.342133388829</v>
      </c>
      <c r="DO17" s="1">
        <f t="shared" si="46"/>
        <v>27794.588712054941</v>
      </c>
      <c r="DP17" s="1">
        <f t="shared" si="46"/>
        <v>27516.642824934392</v>
      </c>
      <c r="DQ17" s="1">
        <f t="shared" si="46"/>
        <v>27241.476396685048</v>
      </c>
      <c r="DR17" s="1">
        <f t="shared" si="46"/>
        <v>26969.061632718196</v>
      </c>
      <c r="DS17" s="1">
        <f t="shared" si="46"/>
        <v>26699.371016391015</v>
      </c>
      <c r="DT17" s="1">
        <f t="shared" si="46"/>
        <v>26432.377306227103</v>
      </c>
      <c r="DU17" s="1">
        <f t="shared" si="46"/>
        <v>26168.053533164832</v>
      </c>
      <c r="DV17" s="1">
        <f t="shared" si="46"/>
        <v>25906.372997833183</v>
      </c>
      <c r="DW17" s="1">
        <f t="shared" si="46"/>
        <v>25647.309267854849</v>
      </c>
      <c r="DX17" s="1">
        <f t="shared" si="46"/>
        <v>25390.8361751763</v>
      </c>
      <c r="DY17" s="1">
        <f t="shared" si="46"/>
        <v>25136.927813424536</v>
      </c>
      <c r="DZ17" s="1">
        <f t="shared" si="46"/>
        <v>24885.558535290289</v>
      </c>
      <c r="EA17" s="1">
        <f t="shared" si="46"/>
        <v>24636.702949937386</v>
      </c>
      <c r="EB17" s="1">
        <f t="shared" si="46"/>
        <v>24390.33592043801</v>
      </c>
      <c r="EC17" s="1">
        <f t="shared" si="46"/>
        <v>24146.432561233629</v>
      </c>
      <c r="ED17" s="1">
        <f t="shared" si="46"/>
        <v>23904.968235621291</v>
      </c>
      <c r="EE17" s="1">
        <f t="shared" si="46"/>
        <v>23665.918553265077</v>
      </c>
      <c r="EF17" s="1">
        <f t="shared" si="46"/>
        <v>23429.259367732426</v>
      </c>
      <c r="EG17" s="1">
        <f t="shared" si="46"/>
        <v>23194.966774055101</v>
      </c>
      <c r="EH17" s="1">
        <f t="shared" si="46"/>
        <v>22963.01710631455</v>
      </c>
      <c r="EI17" s="1">
        <f t="shared" si="46"/>
        <v>22733.386935251405</v>
      </c>
      <c r="EJ17" s="1">
        <f t="shared" si="46"/>
        <v>22506.05306589889</v>
      </c>
      <c r="EK17" s="1">
        <f t="shared" si="46"/>
        <v>22280.9925352399</v>
      </c>
      <c r="EL17" s="1">
        <f t="shared" si="46"/>
        <v>22058.182609887503</v>
      </c>
      <c r="EM17" s="1">
        <f t="shared" si="46"/>
        <v>21837.600783788628</v>
      </c>
      <c r="EN17" s="1">
        <f t="shared" si="46"/>
        <v>21619.224775950741</v>
      </c>
      <c r="EO17" s="1">
        <f t="shared" si="46"/>
        <v>21403.032528191234</v>
      </c>
      <c r="EP17" s="1">
        <f t="shared" si="46"/>
        <v>21189.00220290932</v>
      </c>
      <c r="EQ17" s="1">
        <f t="shared" si="46"/>
        <v>20977.112180880227</v>
      </c>
    </row>
    <row r="18" spans="2:147" s="4" customFormat="1" x14ac:dyDescent="0.2">
      <c r="B18" s="4" t="s">
        <v>10</v>
      </c>
      <c r="J18" s="4">
        <f t="shared" ref="J18:Q18" si="47">+J17/J19</f>
        <v>1.3645320197044335</v>
      </c>
      <c r="K18" s="4">
        <f t="shared" si="47"/>
        <v>0.81267777326290125</v>
      </c>
      <c r="L18" s="4">
        <f t="shared" si="47"/>
        <v>5.1058956010375409</v>
      </c>
      <c r="M18" s="4">
        <f t="shared" si="47"/>
        <v>1.2410496565298119</v>
      </c>
      <c r="N18" s="4">
        <f t="shared" si="47"/>
        <v>2.3574879227053138</v>
      </c>
      <c r="O18" s="4">
        <f t="shared" si="47"/>
        <v>1.7093276323645539</v>
      </c>
      <c r="P18" s="4">
        <f t="shared" si="47"/>
        <v>1.308957213461085</v>
      </c>
      <c r="Q18" s="4">
        <f t="shared" si="47"/>
        <v>2.1193755034715562</v>
      </c>
      <c r="R18" s="4">
        <f t="shared" ref="R18:S18" si="48">+R17/R19</f>
        <v>1.9186602870813396</v>
      </c>
      <c r="S18" s="4">
        <f t="shared" si="48"/>
        <v>2.2535885167464116</v>
      </c>
      <c r="X18" s="4">
        <f t="shared" ref="X18:AD18" si="49">+X17/X19</f>
        <v>-0.46579062784656228</v>
      </c>
      <c r="Y18" s="4">
        <f t="shared" si="49"/>
        <v>2.8817784943946703</v>
      </c>
      <c r="Z18" s="4">
        <f t="shared" si="49"/>
        <v>0.66888748407234055</v>
      </c>
      <c r="AA18" s="4">
        <f t="shared" si="49"/>
        <v>1.2698912717124335</v>
      </c>
      <c r="AB18" s="4">
        <f t="shared" si="49"/>
        <v>1.783477043260373</v>
      </c>
      <c r="AC18" s="4">
        <f t="shared" si="49"/>
        <v>8.6920147282711788</v>
      </c>
      <c r="AD18" s="4">
        <f t="shared" si="49"/>
        <v>7.0585269526490491</v>
      </c>
    </row>
    <row r="19" spans="2:147" x14ac:dyDescent="0.2">
      <c r="B19" s="1" t="s">
        <v>11</v>
      </c>
      <c r="J19" s="1">
        <v>203</v>
      </c>
      <c r="K19" s="1">
        <v>204.26300000000001</v>
      </c>
      <c r="L19" s="1">
        <v>207.79900000000001</v>
      </c>
      <c r="M19" s="1">
        <v>206.27699999999999</v>
      </c>
      <c r="N19" s="1">
        <v>207</v>
      </c>
      <c r="O19" s="1">
        <v>207.684</v>
      </c>
      <c r="P19" s="1">
        <v>207.79900000000001</v>
      </c>
      <c r="Q19" s="1">
        <v>208.55199999999999</v>
      </c>
      <c r="R19" s="1">
        <v>209</v>
      </c>
      <c r="S19" s="1">
        <v>209</v>
      </c>
      <c r="X19" s="1">
        <v>177.846</v>
      </c>
      <c r="Y19" s="1">
        <v>197.22300000000001</v>
      </c>
      <c r="Z19" s="1">
        <v>202.47800000000001</v>
      </c>
      <c r="AA19" s="1">
        <v>203.167</v>
      </c>
      <c r="AB19" s="1">
        <v>203.535</v>
      </c>
      <c r="AC19" s="1">
        <v>205.59100000000001</v>
      </c>
      <c r="AD19" s="1">
        <f>+AVERAGE(O19:R19)</f>
        <v>208.25874999999999</v>
      </c>
    </row>
    <row r="21" spans="2:147" s="3" customFormat="1" x14ac:dyDescent="0.2">
      <c r="B21" s="3" t="s">
        <v>12</v>
      </c>
      <c r="J21" s="3">
        <f t="shared" ref="J21:Q21" si="50">+J8/J4</f>
        <v>0.78608247422680411</v>
      </c>
      <c r="K21" s="3">
        <f t="shared" si="50"/>
        <v>0.79103053435114501</v>
      </c>
      <c r="L21" s="3">
        <f t="shared" si="50"/>
        <v>0.78093023255813954</v>
      </c>
      <c r="M21" s="3">
        <f t="shared" si="50"/>
        <v>0.78321678321678323</v>
      </c>
      <c r="N21" s="3">
        <f t="shared" si="50"/>
        <v>0.78826425933524824</v>
      </c>
      <c r="O21" s="3">
        <f t="shared" si="50"/>
        <v>0.80023050326546297</v>
      </c>
      <c r="P21" s="3">
        <f t="shared" si="50"/>
        <v>0.78987438142367716</v>
      </c>
      <c r="Q21" s="3">
        <f t="shared" si="50"/>
        <v>0.79120486235252052</v>
      </c>
      <c r="R21" s="3">
        <f t="shared" ref="R21:S21" si="51">+R8/R4</f>
        <v>0.78660804869800471</v>
      </c>
      <c r="S21" s="3">
        <f t="shared" si="51"/>
        <v>0.78918393782383423</v>
      </c>
      <c r="X21" s="3">
        <f t="shared" ref="X21:AC21" si="52">+X8/X4</f>
        <v>0.76132544418617498</v>
      </c>
      <c r="Y21" s="3">
        <f t="shared" si="52"/>
        <v>0.76978485665249796</v>
      </c>
      <c r="Z21" s="3">
        <f t="shared" si="52"/>
        <v>0.78158723429488841</v>
      </c>
      <c r="AA21" s="3">
        <f t="shared" si="52"/>
        <v>0.77052238805970152</v>
      </c>
      <c r="AB21" s="3">
        <f t="shared" si="52"/>
        <v>0.78288474810213937</v>
      </c>
      <c r="AC21" s="3">
        <f t="shared" si="52"/>
        <v>0.78586556682644071</v>
      </c>
      <c r="AD21" s="3">
        <f t="shared" ref="AD21:AS21" si="53">+AD8/AD4</f>
        <v>0.79178805535324104</v>
      </c>
      <c r="AE21" s="3">
        <f t="shared" si="53"/>
        <v>0.79178805535324115</v>
      </c>
      <c r="AF21" s="3">
        <f t="shared" si="53"/>
        <v>0.79352315489196412</v>
      </c>
      <c r="AG21" s="3">
        <f t="shared" si="53"/>
        <v>0.79524379526786448</v>
      </c>
      <c r="AH21" s="3">
        <f t="shared" si="53"/>
        <v>0.79695009697396557</v>
      </c>
      <c r="AI21" s="3">
        <f t="shared" si="53"/>
        <v>0.79864217949918248</v>
      </c>
      <c r="AJ21" s="3">
        <f t="shared" si="53"/>
        <v>0.80032016133668926</v>
      </c>
      <c r="AK21" s="3">
        <f t="shared" si="53"/>
        <v>0.80198415999221684</v>
      </c>
      <c r="AL21" s="3">
        <f t="shared" si="53"/>
        <v>0.80363429199228176</v>
      </c>
      <c r="AM21" s="3">
        <f t="shared" si="53"/>
        <v>0.80527067289234611</v>
      </c>
      <c r="AN21" s="3">
        <f t="shared" si="53"/>
        <v>0.80689341728490982</v>
      </c>
      <c r="AO21" s="3">
        <f t="shared" si="53"/>
        <v>0.80850263880753559</v>
      </c>
      <c r="AP21" s="3">
        <f t="shared" si="53"/>
        <v>0.81009845015080628</v>
      </c>
      <c r="AQ21" s="3">
        <f t="shared" si="53"/>
        <v>0.81168096306621607</v>
      </c>
      <c r="AR21" s="3">
        <f t="shared" si="53"/>
        <v>0.81325028837399771</v>
      </c>
      <c r="AS21" s="3">
        <f t="shared" si="53"/>
        <v>0.81480653597088104</v>
      </c>
      <c r="AT21" s="3">
        <f t="shared" ref="AT21" si="54">+AT8/AT4</f>
        <v>0.81634981483779046</v>
      </c>
      <c r="AV21" s="3" t="s">
        <v>94</v>
      </c>
      <c r="AW21" s="3">
        <v>0.08</v>
      </c>
    </row>
    <row r="22" spans="2:147" s="3" customFormat="1" x14ac:dyDescent="0.2">
      <c r="B22" s="3" t="s">
        <v>13</v>
      </c>
      <c r="J22" s="3">
        <f t="shared" ref="J22:Q22" si="55">+J13/J4</f>
        <v>7.9896907216494839E-2</v>
      </c>
      <c r="K22" s="3">
        <f t="shared" si="55"/>
        <v>6.8702290076335881E-2</v>
      </c>
      <c r="L22" s="3">
        <f t="shared" si="55"/>
        <v>5.4418604651162793E-2</v>
      </c>
      <c r="M22" s="3">
        <f t="shared" si="55"/>
        <v>0.10096153846153846</v>
      </c>
      <c r="N22" s="3">
        <f t="shared" si="55"/>
        <v>0.1107919573245794</v>
      </c>
      <c r="O22" s="3">
        <f t="shared" si="55"/>
        <v>0.12754514022281982</v>
      </c>
      <c r="P22" s="3">
        <f t="shared" si="55"/>
        <v>9.1358964598401218E-2</v>
      </c>
      <c r="Q22" s="3">
        <f t="shared" si="55"/>
        <v>0.14944583482302468</v>
      </c>
      <c r="R22" s="3">
        <f t="shared" ref="R22:S22" si="56">+R13/R4</f>
        <v>0.12647954007439974</v>
      </c>
      <c r="S22" s="3">
        <f t="shared" si="56"/>
        <v>0.14604922279792745</v>
      </c>
      <c r="X22" s="3">
        <f t="shared" ref="X22:AC22" si="57">+X13/X4</f>
        <v>-1.6262549754371216E-2</v>
      </c>
      <c r="Y22" s="3">
        <f t="shared" si="57"/>
        <v>1.2172740032545036E-2</v>
      </c>
      <c r="Z22" s="3">
        <f t="shared" si="57"/>
        <v>4.4001262090981937E-2</v>
      </c>
      <c r="AA22" s="3">
        <f t="shared" si="57"/>
        <v>4.3588873812754413E-2</v>
      </c>
      <c r="AB22" s="3">
        <f t="shared" si="57"/>
        <v>4.8999309868875088E-2</v>
      </c>
      <c r="AC22" s="3">
        <f t="shared" si="57"/>
        <v>8.4940363393155721E-2</v>
      </c>
      <c r="AD22" s="3">
        <f>+AD13/AD4</f>
        <v>0.12418062636562273</v>
      </c>
      <c r="AE22" s="3">
        <f t="shared" ref="AE22:AS22" si="58">+AE13/AE4</f>
        <v>0.112423265008844</v>
      </c>
      <c r="AF22" s="3">
        <f t="shared" si="58"/>
        <v>0.1074566443474695</v>
      </c>
      <c r="AG22" s="3">
        <f t="shared" si="58"/>
        <v>0.10191038696979163</v>
      </c>
      <c r="AH22" s="3">
        <f t="shared" si="58"/>
        <v>9.5772978437930784E-2</v>
      </c>
      <c r="AI22" s="3">
        <f t="shared" si="58"/>
        <v>8.9031922098868801E-2</v>
      </c>
      <c r="AJ22" s="3">
        <f t="shared" si="58"/>
        <v>0.11124081295162949</v>
      </c>
      <c r="AK22" s="3">
        <f t="shared" si="58"/>
        <v>0.13233908674534042</v>
      </c>
      <c r="AL22" s="3">
        <f t="shared" si="58"/>
        <v>0.15239265136262689</v>
      </c>
      <c r="AM22" s="3">
        <f t="shared" si="58"/>
        <v>0.17146299755206332</v>
      </c>
      <c r="AN22" s="3">
        <f t="shared" si="58"/>
        <v>0.18960752251443233</v>
      </c>
      <c r="AO22" s="3">
        <f t="shared" si="58"/>
        <v>0.20687982837554308</v>
      </c>
      <c r="AP22" s="3">
        <f t="shared" si="58"/>
        <v>0.22332999756124838</v>
      </c>
      <c r="AQ22" s="3">
        <f t="shared" si="58"/>
        <v>0.23900484692554028</v>
      </c>
      <c r="AR22" s="3">
        <f t="shared" si="58"/>
        <v>0.25394816233144796</v>
      </c>
      <c r="AS22" s="3">
        <f t="shared" si="58"/>
        <v>0.26820091524576511</v>
      </c>
      <c r="AT22" s="3">
        <f t="shared" ref="AT22" si="59">+AT13/AT4</f>
        <v>0.2818014627813839</v>
      </c>
      <c r="AV22" s="3" t="s">
        <v>85</v>
      </c>
      <c r="AW22" s="3">
        <v>-0.01</v>
      </c>
    </row>
    <row r="23" spans="2:147" s="3" customFormat="1" x14ac:dyDescent="0.2">
      <c r="B23" s="3" t="s">
        <v>14</v>
      </c>
      <c r="J23" s="3">
        <f t="shared" ref="J23:Q23" si="60">+J17/J4</f>
        <v>0.14278350515463917</v>
      </c>
      <c r="K23" s="3">
        <f t="shared" si="60"/>
        <v>7.9198473282442741E-2</v>
      </c>
      <c r="L23" s="3">
        <f t="shared" si="60"/>
        <v>0.49348837209302326</v>
      </c>
      <c r="M23" s="3">
        <f t="shared" si="60"/>
        <v>0.11188811188811189</v>
      </c>
      <c r="N23" s="3">
        <f t="shared" si="60"/>
        <v>0.20024620434961019</v>
      </c>
      <c r="O23" s="3">
        <f t="shared" si="60"/>
        <v>0.13638109873223203</v>
      </c>
      <c r="P23" s="3">
        <f t="shared" si="60"/>
        <v>0.10354015987818804</v>
      </c>
      <c r="Q23" s="3">
        <f t="shared" si="60"/>
        <v>0.15802645691812656</v>
      </c>
      <c r="R23" s="3">
        <f t="shared" ref="R23:S23" si="61">+R17/R4</f>
        <v>0.13561041596212378</v>
      </c>
      <c r="S23" s="3">
        <f t="shared" si="61"/>
        <v>0.15252590673575128</v>
      </c>
      <c r="X23" s="3">
        <f t="shared" ref="X23:AC23" si="62">+X17/X4</f>
        <v>-3.1753485105887005E-2</v>
      </c>
      <c r="Y23" s="3">
        <f t="shared" si="62"/>
        <v>0.16424312883026046</v>
      </c>
      <c r="Z23" s="3">
        <f t="shared" si="62"/>
        <v>2.9966916577202043E-2</v>
      </c>
      <c r="AA23" s="3">
        <f t="shared" si="62"/>
        <v>4.3758480325644507E-2</v>
      </c>
      <c r="AB23" s="3">
        <f t="shared" si="62"/>
        <v>5.0103519668737058E-2</v>
      </c>
      <c r="AC23" s="3">
        <f t="shared" si="62"/>
        <v>0.19919741388919854</v>
      </c>
      <c r="AD23" s="3">
        <f t="shared" ref="AD23:AS23" si="63">+AD17/AD4</f>
        <v>0.13383102694828841</v>
      </c>
      <c r="AE23" s="3">
        <f t="shared" si="63"/>
        <v>9.7136247069840295E-2</v>
      </c>
      <c r="AF23" s="3">
        <f t="shared" si="63"/>
        <v>9.7143944540671323E-2</v>
      </c>
      <c r="AG23" s="3">
        <f t="shared" si="63"/>
        <v>9.6024844170248869E-2</v>
      </c>
      <c r="AH23" s="3">
        <f t="shared" si="63"/>
        <v>9.3820153268104209E-2</v>
      </c>
      <c r="AI23" s="3">
        <f t="shared" si="63"/>
        <v>9.0564087951526914E-2</v>
      </c>
      <c r="AJ23" s="3">
        <f t="shared" si="63"/>
        <v>0.10993819361241158</v>
      </c>
      <c r="AK23" s="3">
        <f t="shared" si="63"/>
        <v>0.12918925909819096</v>
      </c>
      <c r="AL23" s="3">
        <f t="shared" si="63"/>
        <v>0.14823587299360388</v>
      </c>
      <c r="AM23" s="3">
        <f t="shared" si="63"/>
        <v>0.16701110452089485</v>
      </c>
      <c r="AN23" s="3">
        <f t="shared" si="63"/>
        <v>0.18546053231869708</v>
      </c>
      <c r="AO23" s="3">
        <f t="shared" si="63"/>
        <v>0.20354051968005765</v>
      </c>
      <c r="AP23" s="3">
        <f t="shared" si="63"/>
        <v>0.2212167065816211</v>
      </c>
      <c r="AQ23" s="3">
        <f t="shared" si="63"/>
        <v>0.23846269233530401</v>
      </c>
      <c r="AR23" s="3">
        <f t="shared" si="63"/>
        <v>0.25525888578543438</v>
      </c>
      <c r="AS23" s="3">
        <f t="shared" si="63"/>
        <v>0.27159150270539861</v>
      </c>
      <c r="AT23" s="3">
        <f t="shared" ref="AT23" si="64">+AT17/AT4</f>
        <v>0.28745169246005053</v>
      </c>
      <c r="AV23" s="3" t="s">
        <v>86</v>
      </c>
      <c r="AW23" s="3">
        <v>0.1</v>
      </c>
    </row>
    <row r="24" spans="2:147" s="3" customFormat="1" x14ac:dyDescent="0.2">
      <c r="B24" s="3" t="s">
        <v>15</v>
      </c>
      <c r="J24" s="3">
        <f t="shared" ref="J24:Q24" si="65">+J16/J15</f>
        <v>0.1064516129032258</v>
      </c>
      <c r="K24" s="3">
        <f t="shared" si="65"/>
        <v>0.18627450980392157</v>
      </c>
      <c r="L24" s="3">
        <f t="shared" si="65"/>
        <v>-4.5549738219895284</v>
      </c>
      <c r="M24" s="3">
        <f t="shared" si="65"/>
        <v>0.18210862619808307</v>
      </c>
      <c r="N24" s="3">
        <f t="shared" si="65"/>
        <v>9.6296296296296297E-2</v>
      </c>
      <c r="O24" s="3">
        <f t="shared" si="65"/>
        <v>0.18013856812933027</v>
      </c>
      <c r="P24" s="3">
        <f t="shared" si="65"/>
        <v>0.20930232558139536</v>
      </c>
      <c r="Q24" s="3">
        <f t="shared" si="65"/>
        <v>0.1596958174904943</v>
      </c>
      <c r="R24" s="3">
        <f t="shared" ref="R24:S24" si="66">+R16/R15</f>
        <v>0.16458333333333333</v>
      </c>
      <c r="S24" s="3">
        <f t="shared" si="66"/>
        <v>0.16784452296819788</v>
      </c>
      <c r="X24" s="3">
        <f t="shared" ref="X24:AC24" si="67">+X16/X15</f>
        <v>0.12946752277766727</v>
      </c>
      <c r="Y24" s="3">
        <f>+Y16/Y15</f>
        <v>-63.293325791854876</v>
      </c>
      <c r="Z24" s="3">
        <f t="shared" si="67"/>
        <v>0.18470114437414664</v>
      </c>
      <c r="AA24" s="3">
        <f t="shared" si="67"/>
        <v>6.8592057761732855E-2</v>
      </c>
      <c r="AB24" s="3">
        <f t="shared" si="67"/>
        <v>0.16933638443935928</v>
      </c>
      <c r="AC24" s="3">
        <f t="shared" si="67"/>
        <v>-0.67951127819548873</v>
      </c>
      <c r="AD24" s="3">
        <f t="shared" ref="AD24:AS24" si="68">+AD16/AD15</f>
        <v>0.17554683118339875</v>
      </c>
      <c r="AE24" s="3">
        <f t="shared" si="68"/>
        <v>0.20000000000000004</v>
      </c>
      <c r="AF24" s="3">
        <f t="shared" si="68"/>
        <v>0.2</v>
      </c>
      <c r="AG24" s="3">
        <f t="shared" si="68"/>
        <v>0.2</v>
      </c>
      <c r="AH24" s="3">
        <f t="shared" si="68"/>
        <v>0.19999999999999998</v>
      </c>
      <c r="AI24" s="3">
        <f t="shared" si="68"/>
        <v>0.2</v>
      </c>
      <c r="AJ24" s="3">
        <f t="shared" si="68"/>
        <v>0.2</v>
      </c>
      <c r="AK24" s="3">
        <f t="shared" si="68"/>
        <v>0.20000000000000004</v>
      </c>
      <c r="AL24" s="3">
        <f t="shared" si="68"/>
        <v>0.2</v>
      </c>
      <c r="AM24" s="3">
        <f t="shared" si="68"/>
        <v>0.2</v>
      </c>
      <c r="AN24" s="3">
        <f t="shared" si="68"/>
        <v>0.2</v>
      </c>
      <c r="AO24" s="3">
        <f t="shared" si="68"/>
        <v>0.19999999999999998</v>
      </c>
      <c r="AP24" s="3">
        <f t="shared" si="68"/>
        <v>0.20000000000000004</v>
      </c>
      <c r="AQ24" s="3">
        <f t="shared" si="68"/>
        <v>0.2</v>
      </c>
      <c r="AR24" s="3">
        <f t="shared" si="68"/>
        <v>0.2</v>
      </c>
      <c r="AS24" s="3">
        <f t="shared" si="68"/>
        <v>0.2</v>
      </c>
      <c r="AT24" s="3">
        <f t="shared" ref="AT24" si="69">+AT16/AT15</f>
        <v>0.2</v>
      </c>
      <c r="AV24" s="3" t="s">
        <v>87</v>
      </c>
      <c r="AW24" s="1">
        <f>+NPV(AW23,AE17:EQ17)</f>
        <v>190350.76674398567</v>
      </c>
    </row>
    <row r="25" spans="2:147" s="3" customFormat="1" x14ac:dyDescent="0.2">
      <c r="AV25" s="3" t="s">
        <v>44</v>
      </c>
      <c r="AW25" s="1">
        <f>+AC28</f>
        <v>0</v>
      </c>
    </row>
    <row r="26" spans="2:147" s="7" customFormat="1" x14ac:dyDescent="0.2">
      <c r="B26" s="7" t="s">
        <v>16</v>
      </c>
      <c r="J26" s="7" t="e">
        <f t="shared" ref="J26:R26" si="70">+J4/F4-1</f>
        <v>#DIV/0!</v>
      </c>
      <c r="K26" s="7" t="e">
        <f t="shared" si="70"/>
        <v>#DIV/0!</v>
      </c>
      <c r="L26" s="7" t="e">
        <f t="shared" si="70"/>
        <v>#DIV/0!</v>
      </c>
      <c r="M26" s="7" t="e">
        <f t="shared" si="70"/>
        <v>#DIV/0!</v>
      </c>
      <c r="N26" s="7">
        <f t="shared" si="70"/>
        <v>0.25618556701030926</v>
      </c>
      <c r="O26" s="7">
        <f t="shared" si="70"/>
        <v>0.24188931297709915</v>
      </c>
      <c r="P26" s="7">
        <f t="shared" si="70"/>
        <v>0.22186046511627899</v>
      </c>
      <c r="Q26" s="7">
        <f t="shared" si="70"/>
        <v>0.222465034965035</v>
      </c>
      <c r="R26" s="7">
        <f t="shared" si="70"/>
        <v>0.21337710299548629</v>
      </c>
      <c r="S26" s="7">
        <f t="shared" ref="S26" si="71">+S4/O4-1</f>
        <v>0.18632347291586626</v>
      </c>
      <c r="T26" s="7">
        <f t="shared" ref="T26" si="72">+T4/P4-1</f>
        <v>0.18999999999999995</v>
      </c>
      <c r="U26" s="7">
        <f t="shared" ref="U26" si="73">+U4/Q4-1</f>
        <v>0.17999999999999994</v>
      </c>
      <c r="V26" s="7">
        <f t="shared" ref="V26" si="74">+V4/R4-1</f>
        <v>0.16999999999999993</v>
      </c>
      <c r="X26" s="7" t="e">
        <f>+X4/#REF!-1</f>
        <v>#REF!</v>
      </c>
      <c r="Y26" s="7">
        <f t="shared" ref="Y26:AC26" si="75">+Y4/X4-1</f>
        <v>0.32643965691716081</v>
      </c>
      <c r="Z26" s="7">
        <f t="shared" si="75"/>
        <v>0.30604429440559078</v>
      </c>
      <c r="AA26" s="7">
        <f t="shared" si="75"/>
        <v>0.30457370797197214</v>
      </c>
      <c r="AB26" s="7">
        <f t="shared" si="75"/>
        <v>0.22879918588873815</v>
      </c>
      <c r="AC26" s="7">
        <f t="shared" si="75"/>
        <v>0.23823326432022074</v>
      </c>
      <c r="AD26" s="7">
        <f t="shared" ref="AD26:AT26" si="76">+AD4/AC4-1</f>
        <v>0.22438970014491133</v>
      </c>
      <c r="AE26" s="7">
        <f t="shared" si="76"/>
        <v>0.18999999999999995</v>
      </c>
      <c r="AF26" s="7">
        <f t="shared" si="76"/>
        <v>0.19999999999999996</v>
      </c>
      <c r="AG26" s="7">
        <f t="shared" si="76"/>
        <v>0.19999999999999996</v>
      </c>
      <c r="AH26" s="7">
        <f t="shared" si="76"/>
        <v>0.19999999999999996</v>
      </c>
      <c r="AI26" s="7">
        <f t="shared" si="76"/>
        <v>0.19999999999999996</v>
      </c>
      <c r="AJ26" s="7">
        <f t="shared" si="76"/>
        <v>0.19999999999999996</v>
      </c>
      <c r="AK26" s="7">
        <f t="shared" si="76"/>
        <v>0.19999999999999996</v>
      </c>
      <c r="AL26" s="7">
        <f t="shared" si="76"/>
        <v>0.19999999999999996</v>
      </c>
      <c r="AM26" s="7">
        <f t="shared" si="76"/>
        <v>0.19999999999999996</v>
      </c>
      <c r="AN26" s="7">
        <f t="shared" si="76"/>
        <v>0.19999999999999996</v>
      </c>
      <c r="AO26" s="7">
        <f t="shared" si="76"/>
        <v>0.19999999999999996</v>
      </c>
      <c r="AP26" s="7">
        <f t="shared" si="76"/>
        <v>0.19999999999999996</v>
      </c>
      <c r="AQ26" s="7">
        <f t="shared" si="76"/>
        <v>0.19999999999999996</v>
      </c>
      <c r="AR26" s="7">
        <f t="shared" si="76"/>
        <v>0.19999999999999996</v>
      </c>
      <c r="AS26" s="7">
        <f t="shared" si="76"/>
        <v>0.19999999999999996</v>
      </c>
      <c r="AT26" s="7">
        <f t="shared" si="76"/>
        <v>0.19999999999999996</v>
      </c>
      <c r="AV26" s="3" t="s">
        <v>95</v>
      </c>
      <c r="AW26" s="1">
        <f>+AW24+AW25</f>
        <v>190350.76674398567</v>
      </c>
    </row>
    <row r="27" spans="2:147" x14ac:dyDescent="0.2">
      <c r="Q27" s="3">
        <f>+SUM(N14:Q14)/Q28</f>
        <v>7.6358873608382449E-2</v>
      </c>
      <c r="R27" s="3">
        <f>+SUM(O14:R14)/R28</f>
        <v>4.9976145038167941E-2</v>
      </c>
      <c r="AV27" s="1" t="s">
        <v>33</v>
      </c>
      <c r="AW27" s="1">
        <f>+AW26/Main!L3</f>
        <v>910.76921887074491</v>
      </c>
    </row>
    <row r="28" spans="2:147" x14ac:dyDescent="0.2">
      <c r="B28" s="1" t="s">
        <v>44</v>
      </c>
      <c r="N28" s="1">
        <f>+N29-N43</f>
        <v>6592</v>
      </c>
      <c r="O28" s="1">
        <f>+O29-O43</f>
        <v>7288</v>
      </c>
      <c r="P28" s="1">
        <f>+P29-P43</f>
        <v>7397</v>
      </c>
      <c r="Q28" s="1">
        <f>+Q29-Q43</f>
        <v>7635</v>
      </c>
      <c r="R28" s="1">
        <f>+R29-R43</f>
        <v>8384</v>
      </c>
      <c r="S28" s="1">
        <f>+S29-S43</f>
        <v>9442</v>
      </c>
      <c r="AB28" s="3"/>
      <c r="AD28" s="1">
        <f>+AC28+AD17</f>
        <v>1470</v>
      </c>
      <c r="AE28" s="1">
        <f t="shared" ref="AE28:AT28" si="77">+AD28+AE17</f>
        <v>2739.6639999999998</v>
      </c>
      <c r="AF28" s="1">
        <f t="shared" si="77"/>
        <v>4263.381535999999</v>
      </c>
      <c r="AG28" s="1">
        <f t="shared" si="77"/>
        <v>6070.778667904</v>
      </c>
      <c r="AH28" s="1">
        <f t="shared" si="77"/>
        <v>8189.8587130338565</v>
      </c>
      <c r="AI28" s="1">
        <f t="shared" si="77"/>
        <v>10644.502559564982</v>
      </c>
      <c r="AJ28" s="1">
        <f t="shared" si="77"/>
        <v>14220.212754015016</v>
      </c>
      <c r="AK28" s="1">
        <f t="shared" si="77"/>
        <v>19262.427863345645</v>
      </c>
      <c r="AL28" s="1">
        <f t="shared" si="77"/>
        <v>26205.14583018596</v>
      </c>
      <c r="AM28" s="1">
        <f t="shared" si="77"/>
        <v>35591.626761713997</v>
      </c>
      <c r="AN28" s="1">
        <f t="shared" si="77"/>
        <v>48099.693852134522</v>
      </c>
      <c r="AO28" s="1">
        <f t="shared" si="77"/>
        <v>64572.622796837371</v>
      </c>
      <c r="AP28" s="1">
        <f t="shared" si="77"/>
        <v>86056.819228849898</v>
      </c>
      <c r="AQ28" s="1">
        <f t="shared" si="77"/>
        <v>113847.73648643758</v>
      </c>
      <c r="AR28" s="1">
        <f t="shared" si="77"/>
        <v>149545.79141312919</v>
      </c>
      <c r="AS28" s="1">
        <f t="shared" si="77"/>
        <v>195124.40475558356</v>
      </c>
      <c r="AT28" s="1">
        <f t="shared" si="77"/>
        <v>253012.73814493438</v>
      </c>
      <c r="AV28" s="1" t="s">
        <v>96</v>
      </c>
      <c r="AW28" s="1">
        <f>+Main!L2</f>
        <v>812.7</v>
      </c>
    </row>
    <row r="29" spans="2:147" x14ac:dyDescent="0.2">
      <c r="B29" s="1" t="s">
        <v>35</v>
      </c>
      <c r="N29" s="1">
        <f>1897+2980+3203</f>
        <v>8080</v>
      </c>
      <c r="O29" s="1">
        <f>2056+3054+3666</f>
        <v>8776</v>
      </c>
      <c r="P29" s="1">
        <f>2159+3254+3472</f>
        <v>8885</v>
      </c>
      <c r="Q29" s="1">
        <f>1885+3410+3829</f>
        <v>9124</v>
      </c>
      <c r="R29" s="1">
        <f>2304+3458+4111</f>
        <v>9873</v>
      </c>
      <c r="S29" s="1">
        <f>3369+3228+4335</f>
        <v>10932</v>
      </c>
      <c r="AV29" s="1" t="s">
        <v>97</v>
      </c>
      <c r="AW29" s="3">
        <f>+AW27/AW28-1</f>
        <v>0.12067087347206207</v>
      </c>
    </row>
    <row r="30" spans="2:147" x14ac:dyDescent="0.2">
      <c r="B30" s="1" t="s">
        <v>45</v>
      </c>
      <c r="N30" s="1">
        <v>2036</v>
      </c>
      <c r="O30" s="1">
        <v>1306</v>
      </c>
      <c r="P30" s="1">
        <v>1518</v>
      </c>
      <c r="Q30" s="1">
        <v>1308</v>
      </c>
      <c r="R30" s="1">
        <v>2240</v>
      </c>
      <c r="S30" s="1">
        <v>1359</v>
      </c>
    </row>
    <row r="31" spans="2:147" x14ac:dyDescent="0.2">
      <c r="B31" s="1" t="s">
        <v>46</v>
      </c>
      <c r="N31" s="1">
        <f>461+919</f>
        <v>1380</v>
      </c>
      <c r="O31" s="1">
        <f>474+930</f>
        <v>1404</v>
      </c>
      <c r="P31" s="1">
        <f>482+928</f>
        <v>1410</v>
      </c>
      <c r="Q31" s="1">
        <f>502+946</f>
        <v>1448</v>
      </c>
      <c r="R31" s="1">
        <f>517+999</f>
        <v>1516</v>
      </c>
      <c r="S31" s="1">
        <f>533+1012</f>
        <v>1545</v>
      </c>
    </row>
    <row r="32" spans="2:147" x14ac:dyDescent="0.2">
      <c r="B32" s="1" t="s">
        <v>47</v>
      </c>
      <c r="N32" s="1">
        <v>403</v>
      </c>
      <c r="O32" s="1">
        <v>482</v>
      </c>
      <c r="P32" s="1">
        <v>608</v>
      </c>
      <c r="Q32" s="1">
        <v>591</v>
      </c>
      <c r="R32" s="1">
        <v>668</v>
      </c>
      <c r="S32" s="1">
        <v>781</v>
      </c>
    </row>
    <row r="33" spans="2:19" x14ac:dyDescent="0.2">
      <c r="B33" s="1" t="s">
        <v>48</v>
      </c>
      <c r="N33" s="1">
        <v>1358</v>
      </c>
      <c r="O33" s="1">
        <v>1450</v>
      </c>
      <c r="P33" s="1">
        <v>1606</v>
      </c>
      <c r="Q33" s="1">
        <v>1718</v>
      </c>
      <c r="R33" s="1">
        <v>1763</v>
      </c>
      <c r="S33" s="1">
        <v>1885</v>
      </c>
    </row>
    <row r="34" spans="2:19" x14ac:dyDescent="0.2">
      <c r="B34" s="1" t="s">
        <v>49</v>
      </c>
      <c r="N34" s="1">
        <v>715</v>
      </c>
      <c r="O34" s="1">
        <v>698</v>
      </c>
      <c r="P34" s="1">
        <v>675</v>
      </c>
      <c r="Q34" s="1">
        <v>661</v>
      </c>
      <c r="R34" s="1">
        <v>693</v>
      </c>
      <c r="S34" s="1">
        <v>810</v>
      </c>
    </row>
    <row r="35" spans="2:19" x14ac:dyDescent="0.2">
      <c r="B35" s="1" t="s">
        <v>50</v>
      </c>
      <c r="N35" s="1">
        <f>224+1231</f>
        <v>1455</v>
      </c>
      <c r="O35" s="1">
        <f>224+1224</f>
        <v>1448</v>
      </c>
      <c r="P35" s="1">
        <f>220+1239</f>
        <v>1459</v>
      </c>
      <c r="Q35" s="1">
        <f>214+1291</f>
        <v>1505</v>
      </c>
      <c r="R35" s="1">
        <f>209+1273</f>
        <v>1482</v>
      </c>
      <c r="S35" s="1">
        <f>230+1305</f>
        <v>1535</v>
      </c>
    </row>
    <row r="36" spans="2:19" x14ac:dyDescent="0.2">
      <c r="B36" s="1" t="s">
        <v>51</v>
      </c>
      <c r="N36" s="1">
        <v>1508</v>
      </c>
      <c r="O36" s="1">
        <v>1478</v>
      </c>
      <c r="P36" s="1">
        <v>1447</v>
      </c>
      <c r="Q36" s="1">
        <v>1444</v>
      </c>
      <c r="R36" s="1">
        <v>1385</v>
      </c>
      <c r="S36" s="1">
        <v>1361</v>
      </c>
    </row>
    <row r="37" spans="2:19" x14ac:dyDescent="0.2">
      <c r="B37" s="1" t="s">
        <v>52</v>
      </c>
      <c r="N37" s="1">
        <v>452</v>
      </c>
      <c r="O37" s="1">
        <v>502</v>
      </c>
      <c r="P37" s="1">
        <v>599</v>
      </c>
      <c r="Q37" s="1">
        <v>635</v>
      </c>
      <c r="R37" s="1">
        <v>763</v>
      </c>
      <c r="S37" s="1">
        <v>764</v>
      </c>
    </row>
    <row r="38" spans="2:19" s="6" customFormat="1" x14ac:dyDescent="0.2">
      <c r="B38" s="6" t="s">
        <v>53</v>
      </c>
      <c r="N38" s="6">
        <f>+SUM(N29:N37)</f>
        <v>17387</v>
      </c>
      <c r="O38" s="6">
        <f>+SUM(O29:O37)</f>
        <v>17544</v>
      </c>
      <c r="P38" s="6">
        <f>+SUM(P29:P37)</f>
        <v>18207</v>
      </c>
      <c r="Q38" s="6">
        <f>+SUM(Q29:Q37)</f>
        <v>18434</v>
      </c>
      <c r="R38" s="6">
        <f>+SUM(R29:R37)</f>
        <v>20383</v>
      </c>
      <c r="S38" s="6">
        <f>+SUM(S29:S37)</f>
        <v>20972</v>
      </c>
    </row>
    <row r="39" spans="2:19" x14ac:dyDescent="0.2">
      <c r="B39" s="1" t="s">
        <v>54</v>
      </c>
      <c r="N39" s="1">
        <v>126</v>
      </c>
      <c r="O39" s="1">
        <v>223</v>
      </c>
      <c r="P39" s="1">
        <v>296</v>
      </c>
      <c r="Q39" s="1">
        <v>165</v>
      </c>
      <c r="R39" s="1">
        <v>68</v>
      </c>
      <c r="S39" s="1">
        <v>309</v>
      </c>
    </row>
    <row r="40" spans="2:19" x14ac:dyDescent="0.2">
      <c r="B40" s="1" t="s">
        <v>55</v>
      </c>
      <c r="N40" s="1">
        <v>1365</v>
      </c>
      <c r="O40" s="1">
        <v>1018</v>
      </c>
      <c r="P40" s="1">
        <v>1163</v>
      </c>
      <c r="Q40" s="1">
        <v>1058</v>
      </c>
      <c r="R40" s="1">
        <v>1369</v>
      </c>
      <c r="S40" s="1">
        <v>1109</v>
      </c>
    </row>
    <row r="41" spans="2:19" x14ac:dyDescent="0.2">
      <c r="B41" s="1" t="s">
        <v>56</v>
      </c>
      <c r="N41" s="1">
        <f>5785+81</f>
        <v>5866</v>
      </c>
      <c r="O41" s="1">
        <f>5700+100</f>
        <v>5800</v>
      </c>
      <c r="P41" s="1">
        <f>5615+85</f>
        <v>5700</v>
      </c>
      <c r="Q41" s="1">
        <f>5457+77</f>
        <v>5534</v>
      </c>
      <c r="R41" s="1">
        <f>6819+95</f>
        <v>6914</v>
      </c>
      <c r="S41" s="1">
        <f>6737+117</f>
        <v>6854</v>
      </c>
    </row>
    <row r="42" spans="2:19" x14ac:dyDescent="0.2">
      <c r="B42" s="1" t="s">
        <v>49</v>
      </c>
      <c r="N42" s="1">
        <f>89+707</f>
        <v>796</v>
      </c>
      <c r="O42" s="1">
        <f>92+693</f>
        <v>785</v>
      </c>
      <c r="P42" s="1">
        <f>98+669</f>
        <v>767</v>
      </c>
      <c r="Q42" s="1">
        <f>106+650</f>
        <v>756</v>
      </c>
      <c r="R42" s="1">
        <f>687+102</f>
        <v>789</v>
      </c>
      <c r="S42" s="1">
        <f>103+806</f>
        <v>909</v>
      </c>
    </row>
    <row r="43" spans="2:19" x14ac:dyDescent="0.2">
      <c r="B43" s="1" t="s">
        <v>36</v>
      </c>
      <c r="N43" s="1">
        <v>1488</v>
      </c>
      <c r="O43" s="1">
        <v>1488</v>
      </c>
      <c r="P43" s="1">
        <v>1488</v>
      </c>
      <c r="Q43" s="1">
        <v>1489</v>
      </c>
      <c r="R43" s="1">
        <v>1489</v>
      </c>
      <c r="S43" s="1">
        <v>1490</v>
      </c>
    </row>
    <row r="44" spans="2:19" x14ac:dyDescent="0.2">
      <c r="B44" s="1" t="s">
        <v>52</v>
      </c>
      <c r="N44" s="1">
        <v>118</v>
      </c>
      <c r="O44" s="1">
        <v>123</v>
      </c>
      <c r="P44" s="1">
        <v>127</v>
      </c>
      <c r="Q44" s="1">
        <v>142</v>
      </c>
      <c r="R44" s="1">
        <v>145</v>
      </c>
      <c r="S44" s="1">
        <v>162</v>
      </c>
    </row>
    <row r="45" spans="2:19" s="6" customFormat="1" x14ac:dyDescent="0.2">
      <c r="B45" s="6" t="s">
        <v>57</v>
      </c>
      <c r="N45" s="6">
        <f>+SUM(N39:N44)</f>
        <v>9759</v>
      </c>
      <c r="O45" s="6">
        <f>+SUM(O39:O44)</f>
        <v>9437</v>
      </c>
      <c r="P45" s="6">
        <f>+SUM(P39:P44)</f>
        <v>9541</v>
      </c>
      <c r="Q45" s="6">
        <f>+SUM(Q39:Q44)</f>
        <v>9144</v>
      </c>
      <c r="R45" s="6">
        <f>+SUM(R39:R44)</f>
        <v>10774</v>
      </c>
      <c r="S45" s="6">
        <f>+SUM(S39:S44)</f>
        <v>10833</v>
      </c>
    </row>
    <row r="46" spans="2:19" x14ac:dyDescent="0.2">
      <c r="B46" s="1" t="s">
        <v>58</v>
      </c>
      <c r="N46" s="1">
        <v>7628</v>
      </c>
      <c r="O46" s="1">
        <v>8107</v>
      </c>
      <c r="P46" s="1">
        <v>8666</v>
      </c>
      <c r="Q46" s="1">
        <v>9290</v>
      </c>
      <c r="R46" s="1">
        <v>9609</v>
      </c>
      <c r="S46" s="1">
        <v>10139</v>
      </c>
    </row>
    <row r="47" spans="2:19" x14ac:dyDescent="0.2">
      <c r="B47" s="1" t="s">
        <v>59</v>
      </c>
      <c r="N47" s="1">
        <f>+N46+N45</f>
        <v>17387</v>
      </c>
      <c r="O47" s="1">
        <f>+O46+O45</f>
        <v>17544</v>
      </c>
      <c r="P47" s="1">
        <f>+P46+P45</f>
        <v>18207</v>
      </c>
      <c r="Q47" s="1">
        <f>+Q46+Q45</f>
        <v>18434</v>
      </c>
      <c r="R47" s="1">
        <f>+R46+R45</f>
        <v>20383</v>
      </c>
      <c r="S47" s="1">
        <f>+S46+S45</f>
        <v>20972</v>
      </c>
    </row>
    <row r="49" spans="2:147" x14ac:dyDescent="0.2">
      <c r="B49" s="1" t="s">
        <v>60</v>
      </c>
      <c r="N49" s="1">
        <f>+N17</f>
        <v>488</v>
      </c>
      <c r="O49" s="1">
        <f>+O17</f>
        <v>355</v>
      </c>
      <c r="P49" s="1">
        <f>+P17</f>
        <v>272</v>
      </c>
      <c r="Q49" s="1">
        <f>+Q17</f>
        <v>442</v>
      </c>
      <c r="R49" s="1">
        <f>+R17</f>
        <v>401</v>
      </c>
      <c r="S49" s="1">
        <f>+S17</f>
        <v>471</v>
      </c>
    </row>
    <row r="50" spans="2:147" x14ac:dyDescent="0.2">
      <c r="B50" s="1" t="s">
        <v>61</v>
      </c>
      <c r="N50" s="1">
        <v>295</v>
      </c>
      <c r="O50" s="1">
        <v>347</v>
      </c>
      <c r="P50" s="1">
        <v>262</v>
      </c>
      <c r="Q50" s="1">
        <v>432</v>
      </c>
      <c r="R50" s="1">
        <v>384</v>
      </c>
      <c r="S50" s="1">
        <v>460</v>
      </c>
    </row>
    <row r="51" spans="2:147" x14ac:dyDescent="0.2">
      <c r="B51" s="1" t="s">
        <v>62</v>
      </c>
      <c r="N51" s="1">
        <v>154</v>
      </c>
      <c r="O51" s="1">
        <v>130</v>
      </c>
      <c r="P51" s="1">
        <v>136</v>
      </c>
      <c r="Q51" s="1">
        <v>144</v>
      </c>
      <c r="R51" s="1">
        <v>154</v>
      </c>
      <c r="S51" s="1">
        <v>160</v>
      </c>
    </row>
    <row r="52" spans="2:147" x14ac:dyDescent="0.2">
      <c r="B52" s="1" t="s">
        <v>63</v>
      </c>
      <c r="N52" s="1">
        <v>126</v>
      </c>
      <c r="O52" s="1">
        <v>131</v>
      </c>
      <c r="P52" s="1">
        <v>132</v>
      </c>
      <c r="Q52" s="1">
        <v>140</v>
      </c>
      <c r="R52" s="1">
        <v>147</v>
      </c>
      <c r="S52" s="1">
        <v>145</v>
      </c>
    </row>
    <row r="53" spans="2:147" x14ac:dyDescent="0.2">
      <c r="B53" s="1" t="s">
        <v>64</v>
      </c>
      <c r="N53" s="1">
        <v>413</v>
      </c>
      <c r="O53" s="1">
        <v>422</v>
      </c>
      <c r="P53" s="1">
        <v>444</v>
      </c>
      <c r="Q53" s="1">
        <v>426</v>
      </c>
      <c r="R53" s="1">
        <v>454</v>
      </c>
      <c r="S53" s="1">
        <v>470</v>
      </c>
      <c r="X53" s="1">
        <v>543.95299999999997</v>
      </c>
      <c r="Y53" s="1">
        <v>662.19500000000005</v>
      </c>
      <c r="Z53" s="1">
        <v>870.45299999999997</v>
      </c>
      <c r="AA53" s="1">
        <v>1131</v>
      </c>
      <c r="AB53" s="1">
        <v>1401</v>
      </c>
      <c r="AC53" s="1">
        <v>1604</v>
      </c>
      <c r="AD53" s="1">
        <v>1746</v>
      </c>
    </row>
    <row r="54" spans="2:147" x14ac:dyDescent="0.2">
      <c r="B54" s="1" t="s">
        <v>51</v>
      </c>
      <c r="N54" s="1">
        <v>17</v>
      </c>
      <c r="O54" s="1">
        <v>28</v>
      </c>
      <c r="P54" s="1">
        <v>24</v>
      </c>
      <c r="Q54" s="1">
        <v>-5</v>
      </c>
      <c r="R54" s="1">
        <v>51</v>
      </c>
      <c r="S54" s="1">
        <v>32</v>
      </c>
    </row>
    <row r="55" spans="2:147" x14ac:dyDescent="0.2">
      <c r="B55" s="1" t="s">
        <v>52</v>
      </c>
      <c r="N55" s="1">
        <v>13</v>
      </c>
      <c r="O55" s="1">
        <v>-18</v>
      </c>
      <c r="P55" s="1">
        <v>-7</v>
      </c>
      <c r="Q55" s="1">
        <v>-6</v>
      </c>
      <c r="R55" s="1">
        <v>-20</v>
      </c>
      <c r="S55" s="1">
        <v>4</v>
      </c>
    </row>
    <row r="56" spans="2:147" x14ac:dyDescent="0.2">
      <c r="B56" s="1" t="s">
        <v>45</v>
      </c>
      <c r="N56" s="1">
        <v>-852</v>
      </c>
      <c r="O56" s="1">
        <v>715</v>
      </c>
      <c r="P56" s="1">
        <v>-216</v>
      </c>
      <c r="Q56" s="1">
        <v>228</v>
      </c>
      <c r="R56" s="1">
        <v>-981</v>
      </c>
      <c r="S56" s="1">
        <v>901</v>
      </c>
    </row>
    <row r="57" spans="2:147" x14ac:dyDescent="0.2">
      <c r="B57" s="1" t="s">
        <v>65</v>
      </c>
      <c r="N57" s="1">
        <v>-264</v>
      </c>
      <c r="O57" s="1">
        <v>-165</v>
      </c>
      <c r="P57" s="1">
        <v>-141</v>
      </c>
      <c r="Q57" s="1">
        <v>-155</v>
      </c>
      <c r="R57" s="1">
        <v>-252</v>
      </c>
      <c r="S57" s="1">
        <v>-155</v>
      </c>
    </row>
    <row r="58" spans="2:147" x14ac:dyDescent="0.2">
      <c r="B58" s="1" t="s">
        <v>66</v>
      </c>
      <c r="N58" s="1">
        <v>-20</v>
      </c>
      <c r="O58" s="1">
        <v>-106</v>
      </c>
      <c r="P58" s="1">
        <v>-146</v>
      </c>
      <c r="Q58" s="1">
        <v>-15</v>
      </c>
      <c r="R58" s="1">
        <v>-65</v>
      </c>
      <c r="S58" s="1">
        <v>-139</v>
      </c>
    </row>
    <row r="59" spans="2:147" x14ac:dyDescent="0.2">
      <c r="B59" s="1" t="s">
        <v>54</v>
      </c>
      <c r="N59" s="1">
        <v>46</v>
      </c>
      <c r="O59" s="1">
        <v>107</v>
      </c>
      <c r="P59" s="1">
        <v>65</v>
      </c>
      <c r="Q59" s="1">
        <v>-130</v>
      </c>
      <c r="R59" s="1">
        <v>-94</v>
      </c>
      <c r="S59" s="1">
        <v>234</v>
      </c>
    </row>
    <row r="60" spans="2:147" x14ac:dyDescent="0.2">
      <c r="B60" s="1" t="s">
        <v>56</v>
      </c>
      <c r="N60" s="1">
        <v>1302</v>
      </c>
      <c r="O60" s="1">
        <v>-10</v>
      </c>
      <c r="P60" s="1">
        <v>-82</v>
      </c>
      <c r="Q60" s="1">
        <v>-263</v>
      </c>
      <c r="R60" s="1">
        <v>1534</v>
      </c>
      <c r="S60" s="1">
        <v>-148</v>
      </c>
    </row>
    <row r="61" spans="2:147" x14ac:dyDescent="0.2">
      <c r="B61" s="1" t="s">
        <v>55</v>
      </c>
      <c r="N61" s="1">
        <v>375</v>
      </c>
      <c r="O61" s="1">
        <v>-240</v>
      </c>
      <c r="P61" s="1">
        <v>149</v>
      </c>
      <c r="Q61" s="1">
        <v>-125</v>
      </c>
      <c r="R61" s="1">
        <v>323</v>
      </c>
      <c r="S61" s="1">
        <v>-287</v>
      </c>
    </row>
    <row r="62" spans="2:147" x14ac:dyDescent="0.2">
      <c r="B62" s="1" t="s">
        <v>68</v>
      </c>
      <c r="N62" s="6">
        <f>+SUM(N56:N61)</f>
        <v>587</v>
      </c>
      <c r="O62" s="6">
        <f>+SUM(O56:O61)</f>
        <v>301</v>
      </c>
      <c r="P62" s="6">
        <f>+SUM(P56:P61)</f>
        <v>-371</v>
      </c>
      <c r="Q62" s="6">
        <f>+SUM(Q56:Q61)</f>
        <v>-460</v>
      </c>
      <c r="R62" s="6">
        <f>+SUM(R56:R61)</f>
        <v>465</v>
      </c>
      <c r="S62" s="6">
        <f>+SUM(S56:S61)</f>
        <v>406</v>
      </c>
    </row>
    <row r="63" spans="2:147" s="6" customFormat="1" x14ac:dyDescent="0.2">
      <c r="B63" s="6" t="s">
        <v>67</v>
      </c>
      <c r="N63" s="6">
        <f>+N62+SUM(N50:N55)</f>
        <v>1605</v>
      </c>
      <c r="O63" s="6">
        <f>+O62+SUM(O50:O55)</f>
        <v>1341</v>
      </c>
      <c r="P63" s="6">
        <f>+P62+SUM(P50:P55)</f>
        <v>620</v>
      </c>
      <c r="Q63" s="6">
        <f>+Q62+SUM(Q50:Q55)</f>
        <v>671</v>
      </c>
      <c r="R63" s="6">
        <f>+R62+SUM(R50:R55)</f>
        <v>1635</v>
      </c>
      <c r="S63" s="6">
        <f>+S62+SUM(S50:S55)</f>
        <v>1677</v>
      </c>
      <c r="X63" s="6">
        <v>811.08900000000006</v>
      </c>
      <c r="Y63" s="6">
        <v>1235.972</v>
      </c>
      <c r="Z63" s="6">
        <v>1786.5989999999999</v>
      </c>
      <c r="AA63" s="6">
        <v>2191</v>
      </c>
      <c r="AB63" s="6">
        <v>2723</v>
      </c>
      <c r="AC63" s="6">
        <v>3398</v>
      </c>
      <c r="AD63" s="6">
        <f>+AC63*1.22</f>
        <v>4145.5599999999995</v>
      </c>
      <c r="AE63" s="6">
        <f>+AD63*1.2</f>
        <v>4974.6719999999996</v>
      </c>
      <c r="AF63" s="6">
        <f>+AE63*1.2</f>
        <v>5969.6063999999997</v>
      </c>
      <c r="AG63" s="6">
        <f t="shared" ref="AG63:AK63" si="78">+AF63*1.2</f>
        <v>7163.5276799999992</v>
      </c>
      <c r="AH63" s="6">
        <f t="shared" si="78"/>
        <v>8596.2332159999987</v>
      </c>
      <c r="AI63" s="6">
        <f t="shared" si="78"/>
        <v>10315.479859199999</v>
      </c>
      <c r="AJ63" s="6">
        <f t="shared" si="78"/>
        <v>12378.575831039998</v>
      </c>
      <c r="AK63" s="6">
        <f t="shared" si="78"/>
        <v>14854.290997247997</v>
      </c>
      <c r="AL63" s="6">
        <f>+AK63*1.2</f>
        <v>17825.149196697595</v>
      </c>
      <c r="AM63" s="6">
        <f t="shared" ref="AM63:AS63" si="79">+AL63*1.2</f>
        <v>21390.179036037112</v>
      </c>
      <c r="AN63" s="6">
        <f t="shared" si="79"/>
        <v>25668.214843244536</v>
      </c>
      <c r="AO63" s="6">
        <f t="shared" si="79"/>
        <v>30801.857811893442</v>
      </c>
      <c r="AP63" s="6">
        <f t="shared" si="79"/>
        <v>36962.22937427213</v>
      </c>
      <c r="AQ63" s="6">
        <f t="shared" si="79"/>
        <v>44354.675249126558</v>
      </c>
      <c r="AR63" s="6">
        <f t="shared" si="79"/>
        <v>53225.610298951869</v>
      </c>
      <c r="AS63" s="6">
        <f t="shared" si="79"/>
        <v>63870.732358742243</v>
      </c>
      <c r="AT63" s="6">
        <f>+AS63*(1+$AG$66)</f>
        <v>62593.317711567397</v>
      </c>
      <c r="AU63" s="6">
        <f t="shared" ref="AU63:DF63" si="80">+AT63*(1+$AG$66)</f>
        <v>61341.451357336045</v>
      </c>
      <c r="AV63" s="6">
        <f t="shared" si="80"/>
        <v>60114.622330189326</v>
      </c>
      <c r="AW63" s="6">
        <f t="shared" si="80"/>
        <v>58912.329883585538</v>
      </c>
      <c r="AX63" s="6">
        <f t="shared" si="80"/>
        <v>57734.083285913825</v>
      </c>
      <c r="AY63" s="6">
        <f t="shared" si="80"/>
        <v>56579.401620195546</v>
      </c>
      <c r="AZ63" s="6">
        <f t="shared" si="80"/>
        <v>55447.813587791636</v>
      </c>
      <c r="BA63" s="6">
        <f t="shared" si="80"/>
        <v>54338.857316035799</v>
      </c>
      <c r="BB63" s="6">
        <f t="shared" si="80"/>
        <v>53252.080169715082</v>
      </c>
      <c r="BC63" s="6">
        <f t="shared" si="80"/>
        <v>52187.038566320778</v>
      </c>
      <c r="BD63" s="6">
        <f t="shared" si="80"/>
        <v>51143.29779499436</v>
      </c>
      <c r="BE63" s="6">
        <f t="shared" si="80"/>
        <v>50120.431839094468</v>
      </c>
      <c r="BF63" s="6">
        <f t="shared" si="80"/>
        <v>49118.023202312579</v>
      </c>
      <c r="BG63" s="6">
        <f t="shared" si="80"/>
        <v>48135.662738266328</v>
      </c>
      <c r="BH63" s="6">
        <f t="shared" si="80"/>
        <v>47172.949483500997</v>
      </c>
      <c r="BI63" s="6">
        <f t="shared" si="80"/>
        <v>46229.490493830977</v>
      </c>
      <c r="BJ63" s="6">
        <f t="shared" si="80"/>
        <v>45304.900683954358</v>
      </c>
      <c r="BK63" s="6">
        <f t="shared" si="80"/>
        <v>44398.802670275269</v>
      </c>
      <c r="BL63" s="6">
        <f t="shared" si="80"/>
        <v>43510.826616869759</v>
      </c>
      <c r="BM63" s="6">
        <f t="shared" si="80"/>
        <v>42640.61008453236</v>
      </c>
      <c r="BN63" s="6">
        <f t="shared" si="80"/>
        <v>41787.797882841711</v>
      </c>
      <c r="BO63" s="6">
        <f t="shared" si="80"/>
        <v>40952.041925184873</v>
      </c>
      <c r="BP63" s="6">
        <f t="shared" si="80"/>
        <v>40133.001086681172</v>
      </c>
      <c r="BQ63" s="6">
        <f t="shared" si="80"/>
        <v>39330.341064947548</v>
      </c>
      <c r="BR63" s="6">
        <f t="shared" si="80"/>
        <v>38543.7342436486</v>
      </c>
      <c r="BS63" s="6">
        <f t="shared" si="80"/>
        <v>37772.859558775628</v>
      </c>
      <c r="BT63" s="6">
        <f t="shared" si="80"/>
        <v>37017.402367600116</v>
      </c>
      <c r="BU63" s="6">
        <f t="shared" si="80"/>
        <v>36277.054320248113</v>
      </c>
      <c r="BV63" s="6">
        <f t="shared" si="80"/>
        <v>35551.51323384315</v>
      </c>
      <c r="BW63" s="6">
        <f t="shared" si="80"/>
        <v>34840.482969166289</v>
      </c>
      <c r="BX63" s="6">
        <f t="shared" si="80"/>
        <v>34143.673309782964</v>
      </c>
      <c r="BY63" s="6">
        <f t="shared" si="80"/>
        <v>33460.799843587301</v>
      </c>
      <c r="BZ63" s="6">
        <f t="shared" si="80"/>
        <v>32791.583846715555</v>
      </c>
      <c r="CA63" s="6">
        <f t="shared" si="80"/>
        <v>32135.752169781244</v>
      </c>
      <c r="CB63" s="6">
        <f t="shared" si="80"/>
        <v>31493.037126385618</v>
      </c>
      <c r="CC63" s="6">
        <f t="shared" si="80"/>
        <v>30863.176383857906</v>
      </c>
      <c r="CD63" s="6">
        <f t="shared" si="80"/>
        <v>30245.912856180748</v>
      </c>
      <c r="CE63" s="6">
        <f t="shared" si="80"/>
        <v>29640.994599057132</v>
      </c>
      <c r="CF63" s="6">
        <f t="shared" si="80"/>
        <v>29048.174707075988</v>
      </c>
      <c r="CG63" s="6">
        <f t="shared" si="80"/>
        <v>28467.211212934468</v>
      </c>
      <c r="CH63" s="6">
        <f t="shared" si="80"/>
        <v>27897.866988675778</v>
      </c>
      <c r="CI63" s="6">
        <f t="shared" si="80"/>
        <v>27339.909648902263</v>
      </c>
      <c r="CJ63" s="6">
        <f t="shared" si="80"/>
        <v>26793.111455924216</v>
      </c>
      <c r="CK63" s="6">
        <f t="shared" si="80"/>
        <v>26257.249226805732</v>
      </c>
      <c r="CL63" s="6">
        <f t="shared" si="80"/>
        <v>25732.104242269615</v>
      </c>
      <c r="CM63" s="6">
        <f t="shared" si="80"/>
        <v>25217.462157424223</v>
      </c>
      <c r="CN63" s="6">
        <f t="shared" si="80"/>
        <v>24713.112914275738</v>
      </c>
      <c r="CO63" s="6">
        <f t="shared" si="80"/>
        <v>24218.850655990223</v>
      </c>
      <c r="CP63" s="6">
        <f t="shared" si="80"/>
        <v>23734.47364287042</v>
      </c>
      <c r="CQ63" s="6">
        <f t="shared" si="80"/>
        <v>23259.784170013012</v>
      </c>
      <c r="CR63" s="6">
        <f t="shared" si="80"/>
        <v>22794.588486612753</v>
      </c>
      <c r="CS63" s="6">
        <f t="shared" si="80"/>
        <v>22338.696716880499</v>
      </c>
      <c r="CT63" s="6">
        <f t="shared" si="80"/>
        <v>21891.92278254289</v>
      </c>
      <c r="CU63" s="6">
        <f t="shared" si="80"/>
        <v>21454.084326892033</v>
      </c>
      <c r="CV63" s="6">
        <f t="shared" si="80"/>
        <v>21025.002640354192</v>
      </c>
      <c r="CW63" s="6">
        <f t="shared" si="80"/>
        <v>20604.502587547107</v>
      </c>
      <c r="CX63" s="6">
        <f t="shared" si="80"/>
        <v>20192.412535796164</v>
      </c>
      <c r="CY63" s="6">
        <f t="shared" si="80"/>
        <v>19788.56428508024</v>
      </c>
      <c r="CZ63" s="6">
        <f t="shared" si="80"/>
        <v>19392.792999378635</v>
      </c>
      <c r="DA63" s="6">
        <f t="shared" si="80"/>
        <v>19004.937139391062</v>
      </c>
      <c r="DB63" s="6">
        <f t="shared" si="80"/>
        <v>18624.838396603242</v>
      </c>
      <c r="DC63" s="6">
        <f t="shared" si="80"/>
        <v>18252.341628671176</v>
      </c>
      <c r="DD63" s="6">
        <f t="shared" si="80"/>
        <v>17887.294796097751</v>
      </c>
      <c r="DE63" s="6">
        <f t="shared" si="80"/>
        <v>17529.548900175796</v>
      </c>
      <c r="DF63" s="6">
        <f t="shared" si="80"/>
        <v>17178.957922172282</v>
      </c>
      <c r="DG63" s="6">
        <f t="shared" ref="DG63:EQ63" si="81">+DF63*(1+$AG$66)</f>
        <v>16835.378763728837</v>
      </c>
      <c r="DH63" s="6">
        <f t="shared" si="81"/>
        <v>16498.67118845426</v>
      </c>
      <c r="DI63" s="6">
        <f t="shared" si="81"/>
        <v>16168.697764685174</v>
      </c>
      <c r="DJ63" s="6">
        <f t="shared" si="81"/>
        <v>15845.32380939147</v>
      </c>
      <c r="DK63" s="6">
        <f t="shared" si="81"/>
        <v>15528.417333203641</v>
      </c>
      <c r="DL63" s="6">
        <f t="shared" si="81"/>
        <v>15217.848986539568</v>
      </c>
      <c r="DM63" s="6">
        <f t="shared" si="81"/>
        <v>14913.492006808776</v>
      </c>
      <c r="DN63" s="6">
        <f t="shared" si="81"/>
        <v>14615.2221666726</v>
      </c>
      <c r="DO63" s="6">
        <f t="shared" si="81"/>
        <v>14322.917723339147</v>
      </c>
      <c r="DP63" s="6">
        <f t="shared" si="81"/>
        <v>14036.459368872363</v>
      </c>
      <c r="DQ63" s="6">
        <f t="shared" si="81"/>
        <v>13755.730181494915</v>
      </c>
      <c r="DR63" s="6">
        <f t="shared" si="81"/>
        <v>13480.615577865017</v>
      </c>
      <c r="DS63" s="6">
        <f t="shared" si="81"/>
        <v>13211.003266307716</v>
      </c>
      <c r="DT63" s="6">
        <f t="shared" si="81"/>
        <v>12946.783200981561</v>
      </c>
      <c r="DU63" s="6">
        <f t="shared" si="81"/>
        <v>12687.84753696193</v>
      </c>
      <c r="DV63" s="6">
        <f t="shared" si="81"/>
        <v>12434.090586222692</v>
      </c>
      <c r="DW63" s="6">
        <f t="shared" si="81"/>
        <v>12185.408774498237</v>
      </c>
      <c r="DX63" s="6">
        <f t="shared" si="81"/>
        <v>11941.700599008273</v>
      </c>
      <c r="DY63" s="6">
        <f t="shared" si="81"/>
        <v>11702.866587028107</v>
      </c>
      <c r="DZ63" s="6">
        <f t="shared" si="81"/>
        <v>11468.809255287546</v>
      </c>
      <c r="EA63" s="6">
        <f t="shared" si="81"/>
        <v>11239.433070181794</v>
      </c>
      <c r="EB63" s="6">
        <f t="shared" si="81"/>
        <v>11014.644408778158</v>
      </c>
      <c r="EC63" s="6">
        <f t="shared" si="81"/>
        <v>10794.351520602595</v>
      </c>
      <c r="ED63" s="6">
        <f t="shared" si="81"/>
        <v>10578.464490190543</v>
      </c>
      <c r="EE63" s="6">
        <f t="shared" si="81"/>
        <v>10366.895200386733</v>
      </c>
      <c r="EF63" s="6">
        <f t="shared" si="81"/>
        <v>10159.557296378998</v>
      </c>
      <c r="EG63" s="6">
        <f t="shared" si="81"/>
        <v>9956.3661504514184</v>
      </c>
      <c r="EH63" s="6">
        <f t="shared" si="81"/>
        <v>9757.2388274423902</v>
      </c>
      <c r="EI63" s="6">
        <f t="shared" si="81"/>
        <v>9562.0940508935419</v>
      </c>
      <c r="EJ63" s="6">
        <f t="shared" si="81"/>
        <v>9370.8521698756704</v>
      </c>
      <c r="EK63" s="6">
        <f t="shared" si="81"/>
        <v>9183.4351264781562</v>
      </c>
      <c r="EL63" s="6">
        <f t="shared" si="81"/>
        <v>8999.766423948593</v>
      </c>
      <c r="EM63" s="6">
        <f t="shared" si="81"/>
        <v>8819.7710954696213</v>
      </c>
      <c r="EN63" s="6">
        <f t="shared" si="81"/>
        <v>8643.3756735602292</v>
      </c>
      <c r="EO63" s="6">
        <f t="shared" si="81"/>
        <v>8470.5081600890244</v>
      </c>
      <c r="EP63" s="6">
        <f t="shared" si="81"/>
        <v>8301.0979968872434</v>
      </c>
      <c r="EQ63" s="6">
        <f t="shared" si="81"/>
        <v>8135.0760369494983</v>
      </c>
    </row>
    <row r="64" spans="2:147" s="6" customFormat="1" x14ac:dyDescent="0.2">
      <c r="Y64" s="7"/>
      <c r="Z64" s="7"/>
      <c r="AA64" s="7"/>
      <c r="AB64" s="7"/>
      <c r="AC64" s="7"/>
      <c r="AD64" s="7"/>
    </row>
    <row r="65" spans="2:33" x14ac:dyDescent="0.2">
      <c r="B65" s="1" t="s">
        <v>69</v>
      </c>
      <c r="N65" s="1">
        <v>-261</v>
      </c>
      <c r="O65" s="1">
        <v>-135</v>
      </c>
      <c r="P65" s="1">
        <v>-262</v>
      </c>
      <c r="Q65" s="1">
        <v>-202</v>
      </c>
      <c r="R65" s="1">
        <v>-253</v>
      </c>
      <c r="S65" s="1">
        <v>-205</v>
      </c>
      <c r="X65" s="1">
        <v>-224.46199999999999</v>
      </c>
      <c r="Y65" s="1">
        <v>-264.892</v>
      </c>
      <c r="Z65" s="1">
        <v>-419.327</v>
      </c>
      <c r="AA65" s="1">
        <v>-392</v>
      </c>
      <c r="AB65" s="1">
        <v>-550</v>
      </c>
      <c r="AC65" s="1">
        <v>-694</v>
      </c>
      <c r="AD65" s="1">
        <v>-852</v>
      </c>
      <c r="AF65" s="3" t="s">
        <v>84</v>
      </c>
      <c r="AG65" s="3">
        <v>0.2</v>
      </c>
    </row>
    <row r="66" spans="2:33" x14ac:dyDescent="0.2">
      <c r="B66" s="1" t="s">
        <v>70</v>
      </c>
      <c r="N66" s="1">
        <v>0</v>
      </c>
      <c r="O66" s="1">
        <v>-194</v>
      </c>
      <c r="P66" s="1">
        <v>-31</v>
      </c>
      <c r="Q66" s="1">
        <v>-41</v>
      </c>
      <c r="R66" s="1">
        <v>-31</v>
      </c>
      <c r="S66" s="1">
        <v>-18</v>
      </c>
      <c r="X66" s="1">
        <v>-37.44</v>
      </c>
      <c r="Y66" s="1">
        <v>-7.4139999999999997</v>
      </c>
      <c r="Z66" s="1">
        <v>-107.236</v>
      </c>
      <c r="AA66" s="1">
        <v>-785</v>
      </c>
      <c r="AB66" s="1">
        <v>-91</v>
      </c>
      <c r="AC66" s="1">
        <v>-282</v>
      </c>
      <c r="AD66" s="1">
        <v>-113</v>
      </c>
      <c r="AF66" s="3" t="s">
        <v>85</v>
      </c>
      <c r="AG66" s="3">
        <v>-0.02</v>
      </c>
    </row>
    <row r="67" spans="2:33" x14ac:dyDescent="0.2">
      <c r="B67" s="1" t="s">
        <v>71</v>
      </c>
      <c r="O67" s="1">
        <v>-21</v>
      </c>
      <c r="P67" s="1">
        <v>-9</v>
      </c>
      <c r="Q67" s="1">
        <v>0</v>
      </c>
      <c r="R67" s="1">
        <v>-10</v>
      </c>
      <c r="S67" s="1">
        <v>-34</v>
      </c>
      <c r="AF67" s="3" t="s">
        <v>86</v>
      </c>
      <c r="AG67" s="3">
        <v>0.1</v>
      </c>
    </row>
    <row r="68" spans="2:33" x14ac:dyDescent="0.2">
      <c r="B68" s="1" t="s">
        <v>72</v>
      </c>
      <c r="N68" s="1">
        <f>-829-19+654</f>
        <v>-194</v>
      </c>
      <c r="O68" s="1">
        <f>-1605-42+1073</f>
        <v>-574</v>
      </c>
      <c r="P68" s="1">
        <f>-1055-46+1040</f>
        <v>-61</v>
      </c>
      <c r="Q68" s="1">
        <f>-1292-61+911</f>
        <v>-442</v>
      </c>
      <c r="R68" s="1">
        <f>-1079-32+728</f>
        <v>-383</v>
      </c>
      <c r="S68" s="1">
        <f>-1140-4+1181</f>
        <v>37</v>
      </c>
      <c r="AF68" s="3" t="s">
        <v>87</v>
      </c>
      <c r="AG68" s="1">
        <f>+NPV(AG67,AE63:EQ63)+Main!L5-Main!L6</f>
        <v>268045.59405614756</v>
      </c>
    </row>
    <row r="69" spans="2:33" x14ac:dyDescent="0.2">
      <c r="B69" s="1" t="s">
        <v>52</v>
      </c>
      <c r="N69" s="1">
        <v>11</v>
      </c>
      <c r="O69" s="1">
        <v>6</v>
      </c>
      <c r="P69" s="1">
        <v>-8</v>
      </c>
      <c r="Q69" s="1">
        <v>27</v>
      </c>
      <c r="R69" s="1">
        <v>-61</v>
      </c>
      <c r="S69" s="1">
        <v>3</v>
      </c>
      <c r="AF69" s="3" t="s">
        <v>88</v>
      </c>
      <c r="AG69" s="1">
        <f>+AG68/Main!L3</f>
        <v>1282.5148040963998</v>
      </c>
    </row>
    <row r="70" spans="2:33" x14ac:dyDescent="0.2">
      <c r="B70" s="1" t="s">
        <v>73</v>
      </c>
      <c r="N70" s="1">
        <f>+SUM(N65:N69)</f>
        <v>-444</v>
      </c>
      <c r="O70" s="1">
        <f>+SUM(O65:O69)</f>
        <v>-918</v>
      </c>
      <c r="P70" s="1">
        <f>+SUM(P65:P69)</f>
        <v>-371</v>
      </c>
      <c r="Q70" s="1">
        <f>+SUM(Q65:Q69)</f>
        <v>-658</v>
      </c>
      <c r="R70" s="1">
        <f>+SUM(R65:R69)</f>
        <v>-738</v>
      </c>
      <c r="S70" s="1">
        <f>+SUM(S65:S69)</f>
        <v>-217</v>
      </c>
      <c r="AF70" s="7"/>
      <c r="AG70" s="7">
        <f>+AG69/Main!L2-1</f>
        <v>0.57809130564341049</v>
      </c>
    </row>
    <row r="72" spans="2:33" x14ac:dyDescent="0.2">
      <c r="B72" s="1" t="s">
        <v>74</v>
      </c>
      <c r="N72" s="1">
        <v>1</v>
      </c>
      <c r="O72" s="1">
        <v>131</v>
      </c>
      <c r="P72" s="1">
        <v>0</v>
      </c>
      <c r="Q72" s="1">
        <v>106</v>
      </c>
      <c r="R72" s="1">
        <v>0</v>
      </c>
      <c r="S72" s="1">
        <v>153</v>
      </c>
    </row>
    <row r="73" spans="2:33" x14ac:dyDescent="0.2">
      <c r="B73" s="1" t="s">
        <v>75</v>
      </c>
      <c r="N73" s="1">
        <v>-256</v>
      </c>
      <c r="O73" s="1">
        <v>-175</v>
      </c>
      <c r="P73" s="1">
        <v>0</v>
      </c>
      <c r="Q73" s="1">
        <v>-225</v>
      </c>
      <c r="R73" s="1">
        <v>-296</v>
      </c>
      <c r="S73" s="1">
        <v>-298</v>
      </c>
    </row>
    <row r="74" spans="2:33" x14ac:dyDescent="0.2">
      <c r="B74" s="1" t="s">
        <v>76</v>
      </c>
      <c r="N74" s="1">
        <v>-126</v>
      </c>
      <c r="O74" s="1">
        <v>-215</v>
      </c>
      <c r="P74" s="1">
        <v>-137</v>
      </c>
      <c r="Q74" s="1">
        <v>-173</v>
      </c>
      <c r="R74" s="1">
        <v>-175</v>
      </c>
      <c r="S74" s="1">
        <v>-253</v>
      </c>
    </row>
    <row r="75" spans="2:33" x14ac:dyDescent="0.2">
      <c r="B75" s="1" t="s">
        <v>77</v>
      </c>
      <c r="N75" s="1">
        <f>+SUM(N72:N74)</f>
        <v>-381</v>
      </c>
      <c r="O75" s="1">
        <f>+SUM(O72:O74)</f>
        <v>-259</v>
      </c>
      <c r="P75" s="1">
        <f>+SUM(P72:P74)</f>
        <v>-137</v>
      </c>
      <c r="Q75" s="1">
        <f>+SUM(Q72:Q74)</f>
        <v>-292</v>
      </c>
      <c r="R75" s="1">
        <f>+SUM(R72:R74)</f>
        <v>-471</v>
      </c>
      <c r="S75" s="1">
        <f>+SUM(S72:S74)</f>
        <v>-398</v>
      </c>
    </row>
    <row r="77" spans="2:33" x14ac:dyDescent="0.2">
      <c r="B77" s="1" t="s">
        <v>78</v>
      </c>
      <c r="N77" s="1">
        <v>5</v>
      </c>
      <c r="O77" s="1">
        <v>-4</v>
      </c>
      <c r="P77" s="1">
        <v>-9</v>
      </c>
      <c r="Q77" s="1">
        <v>5</v>
      </c>
      <c r="R77" s="1">
        <v>-9</v>
      </c>
      <c r="S77" s="1">
        <v>5</v>
      </c>
    </row>
    <row r="78" spans="2:33" x14ac:dyDescent="0.2">
      <c r="B78" s="1" t="s">
        <v>79</v>
      </c>
      <c r="N78" s="1">
        <f>+N63+N70+N75+N77</f>
        <v>785</v>
      </c>
      <c r="O78" s="1">
        <f>+O63+O70+O75+O77</f>
        <v>160</v>
      </c>
      <c r="P78" s="1">
        <f>+P63+P70+P75+P77</f>
        <v>103</v>
      </c>
      <c r="Q78" s="1">
        <f>+Q63+Q70+Q75+Q77</f>
        <v>-274</v>
      </c>
      <c r="R78" s="1">
        <f>+R63+R70+R75+R77</f>
        <v>417</v>
      </c>
      <c r="S78" s="1">
        <f>+S63+S70+S75+S77</f>
        <v>1067</v>
      </c>
    </row>
    <row r="80" spans="2:33" s="6" customFormat="1" x14ac:dyDescent="0.2">
      <c r="B80" s="6" t="s">
        <v>80</v>
      </c>
      <c r="N80" s="6">
        <f>+N63+N65</f>
        <v>1344</v>
      </c>
      <c r="O80" s="6">
        <f>+O63+O65</f>
        <v>1206</v>
      </c>
      <c r="P80" s="6">
        <f>+P63+P65</f>
        <v>358</v>
      </c>
      <c r="Q80" s="6">
        <f>+Q63+Q65</f>
        <v>469</v>
      </c>
      <c r="R80" s="6">
        <f>+R63+R65</f>
        <v>1382</v>
      </c>
      <c r="S80" s="6">
        <f>+S63+S65</f>
        <v>1472</v>
      </c>
      <c r="X80" s="6">
        <f t="shared" ref="X80:AB80" si="82">+X63+X65</f>
        <v>586.62700000000007</v>
      </c>
      <c r="Y80" s="6">
        <f t="shared" si="82"/>
        <v>971.07999999999993</v>
      </c>
      <c r="Z80" s="6">
        <f t="shared" si="82"/>
        <v>1367.2719999999999</v>
      </c>
      <c r="AA80" s="6">
        <f t="shared" si="82"/>
        <v>1799</v>
      </c>
      <c r="AB80" s="6">
        <f t="shared" si="82"/>
        <v>2173</v>
      </c>
      <c r="AC80" s="6">
        <f>+AC63+AC65</f>
        <v>2704</v>
      </c>
      <c r="AD80" s="6">
        <f>+AD63+AD65</f>
        <v>3293.5599999999995</v>
      </c>
    </row>
    <row r="81" spans="2:30" x14ac:dyDescent="0.2">
      <c r="B81" s="1" t="s">
        <v>81</v>
      </c>
      <c r="N81" s="1">
        <f>+SUM(K80:N80)</f>
        <v>1344</v>
      </c>
      <c r="O81" s="1">
        <f>+SUM(L80:O80)</f>
        <v>2550</v>
      </c>
      <c r="P81" s="1">
        <f>+SUM(M80:P80)</f>
        <v>2908</v>
      </c>
      <c r="Q81" s="1">
        <f>+SUM(N80:Q80)</f>
        <v>3377</v>
      </c>
      <c r="R81" s="1">
        <f>+SUM(O80:R80)</f>
        <v>3415</v>
      </c>
      <c r="S81" s="1">
        <f>+SUM(P80:S80)</f>
        <v>3681</v>
      </c>
    </row>
    <row r="83" spans="2:30" x14ac:dyDescent="0.2">
      <c r="B83" s="1" t="s">
        <v>82</v>
      </c>
      <c r="N83" s="1">
        <f>+N80-N53</f>
        <v>931</v>
      </c>
      <c r="O83" s="1">
        <f>+O80-O53</f>
        <v>784</v>
      </c>
      <c r="P83" s="1">
        <f>+P80-P53</f>
        <v>-86</v>
      </c>
      <c r="Q83" s="1">
        <f>+Q80-Q53</f>
        <v>43</v>
      </c>
      <c r="R83" s="1">
        <f>+R80-R53</f>
        <v>928</v>
      </c>
      <c r="S83" s="1">
        <f>+S80-S53</f>
        <v>1002</v>
      </c>
      <c r="X83" s="1">
        <f t="shared" ref="X83:Z83" si="83">+X80-X53</f>
        <v>42.674000000000092</v>
      </c>
      <c r="Y83" s="1">
        <f t="shared" si="83"/>
        <v>308.88499999999988</v>
      </c>
      <c r="Z83" s="1">
        <f t="shared" si="83"/>
        <v>496.81899999999996</v>
      </c>
      <c r="AA83" s="1">
        <f t="shared" ref="AA83:AB83" si="84">+AA80-AA53</f>
        <v>668</v>
      </c>
      <c r="AB83" s="1">
        <f t="shared" si="84"/>
        <v>772</v>
      </c>
      <c r="AC83" s="1">
        <f>+AC80-AC53</f>
        <v>1100</v>
      </c>
      <c r="AD83" s="1">
        <f>+AD80-AD53</f>
        <v>1547.5599999999995</v>
      </c>
    </row>
    <row r="84" spans="2:30" x14ac:dyDescent="0.2">
      <c r="B84" s="1" t="s">
        <v>83</v>
      </c>
      <c r="N84" s="1">
        <f>+SUM(K83:N83)</f>
        <v>931</v>
      </c>
      <c r="O84" s="1">
        <f>+SUM(L83:O83)</f>
        <v>1715</v>
      </c>
      <c r="P84" s="1">
        <f>+SUM(M83:P83)</f>
        <v>1629</v>
      </c>
      <c r="Q84" s="1">
        <f>+SUM(N83:Q83)</f>
        <v>1672</v>
      </c>
      <c r="R84" s="1">
        <f>+SUM(O83:R83)</f>
        <v>1669</v>
      </c>
      <c r="S84" s="1">
        <f>+SUM(P83:S83)</f>
        <v>1887</v>
      </c>
    </row>
  </sheetData>
  <hyperlinks>
    <hyperlink ref="A1" location="Main!A1" display="Main" xr:uid="{D12B7F1D-CCD8-4FC8-95B1-F2EC0EFB5E39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2024-11-21T14:19:50Z</dcterms:created>
  <dcterms:modified xsi:type="dcterms:W3CDTF">2025-04-23T22:42:32Z</dcterms:modified>
</cp:coreProperties>
</file>