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468754E8-5C93-4246-A9B0-BD84E998570C}" xr6:coauthVersionLast="47" xr6:coauthVersionMax="47" xr10:uidLastSave="{00000000-0000-0000-0000-000000000000}"/>
  <bookViews>
    <workbookView xWindow="255" yWindow="210" windowWidth="13965" windowHeight="15300" activeTab="1" xr2:uid="{643CDB0D-5664-409E-99FE-602CA94576E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9" i="2" l="1"/>
  <c r="O81" i="2" s="1"/>
  <c r="O78" i="2"/>
  <c r="O75" i="2"/>
  <c r="O76" i="2" s="1"/>
  <c r="O66" i="2"/>
  <c r="O60" i="2"/>
  <c r="O61" i="2" s="1"/>
  <c r="N74" i="2"/>
  <c r="N73" i="2"/>
  <c r="N72" i="2"/>
  <c r="N70" i="2"/>
  <c r="N58" i="2"/>
  <c r="N57" i="2"/>
  <c r="N56" i="2"/>
  <c r="N55" i="2"/>
  <c r="N54" i="2"/>
  <c r="K75" i="2"/>
  <c r="M68" i="2"/>
  <c r="N68" i="2" s="1"/>
  <c r="L65" i="2"/>
  <c r="M65" i="2" s="1"/>
  <c r="L64" i="2"/>
  <c r="M64" i="2" s="1"/>
  <c r="L59" i="2"/>
  <c r="M59" i="2" s="1"/>
  <c r="L58" i="2"/>
  <c r="M58" i="2" s="1"/>
  <c r="L56" i="2"/>
  <c r="M56" i="2" s="1"/>
  <c r="L55" i="2"/>
  <c r="M55" i="2" s="1"/>
  <c r="L54" i="2"/>
  <c r="M54" i="2" s="1"/>
  <c r="L53" i="2"/>
  <c r="M53" i="2" s="1"/>
  <c r="N53" i="2" s="1"/>
  <c r="L52" i="2"/>
  <c r="M52" i="2" s="1"/>
  <c r="L51" i="2"/>
  <c r="M51" i="2" s="1"/>
  <c r="L50" i="2"/>
  <c r="M50" i="2" s="1"/>
  <c r="L48" i="2"/>
  <c r="M48" i="2" s="1"/>
  <c r="L47" i="2"/>
  <c r="M47" i="2" s="1"/>
  <c r="L46" i="2"/>
  <c r="M46" i="2" s="1"/>
  <c r="K71" i="2"/>
  <c r="L71" i="2" s="1"/>
  <c r="K69" i="2"/>
  <c r="K66" i="2"/>
  <c r="K60" i="2"/>
  <c r="K61" i="2" s="1"/>
  <c r="O38" i="2"/>
  <c r="O40" i="2" s="1"/>
  <c r="O29" i="2"/>
  <c r="O32" i="2" s="1"/>
  <c r="N38" i="2"/>
  <c r="N40" i="2" s="1"/>
  <c r="N29" i="2"/>
  <c r="N32" i="2" s="1"/>
  <c r="M38" i="2"/>
  <c r="M40" i="2" s="1"/>
  <c r="M29" i="2"/>
  <c r="M32" i="2" s="1"/>
  <c r="L38" i="2"/>
  <c r="L40" i="2" s="1"/>
  <c r="L29" i="2"/>
  <c r="L32" i="2" s="1"/>
  <c r="K38" i="2"/>
  <c r="K40" i="2" s="1"/>
  <c r="K29" i="2"/>
  <c r="K32" i="2" s="1"/>
  <c r="O11" i="2"/>
  <c r="O23" i="2"/>
  <c r="O9" i="2"/>
  <c r="O5" i="2"/>
  <c r="O18" i="2" s="1"/>
  <c r="J16" i="2"/>
  <c r="J13" i="2"/>
  <c r="J8" i="2"/>
  <c r="J7" i="2"/>
  <c r="J6" i="2"/>
  <c r="J4" i="2"/>
  <c r="J3" i="2"/>
  <c r="N16" i="2"/>
  <c r="N13" i="2"/>
  <c r="N8" i="2"/>
  <c r="N7" i="2"/>
  <c r="N6" i="2"/>
  <c r="N4" i="2"/>
  <c r="N3" i="2"/>
  <c r="X23" i="2"/>
  <c r="W11" i="2"/>
  <c r="W23" i="2"/>
  <c r="W9" i="2"/>
  <c r="W5" i="2"/>
  <c r="W18" i="2" s="1"/>
  <c r="X11" i="2"/>
  <c r="X9" i="2"/>
  <c r="X5" i="2"/>
  <c r="X18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I11" i="2"/>
  <c r="I9" i="2"/>
  <c r="I5" i="2"/>
  <c r="M11" i="2"/>
  <c r="M23" i="2"/>
  <c r="M9" i="2"/>
  <c r="M5" i="2"/>
  <c r="M18" i="2" s="1"/>
  <c r="H11" i="2"/>
  <c r="H9" i="2"/>
  <c r="H5" i="2"/>
  <c r="L11" i="2"/>
  <c r="L23" i="2"/>
  <c r="L9" i="2"/>
  <c r="L5" i="2"/>
  <c r="L18" i="2" s="1"/>
  <c r="K23" i="2"/>
  <c r="G9" i="2"/>
  <c r="G5" i="2"/>
  <c r="G18" i="2" s="1"/>
  <c r="K11" i="2"/>
  <c r="K9" i="2"/>
  <c r="K5" i="2"/>
  <c r="K18" i="2" s="1"/>
  <c r="K9" i="1"/>
  <c r="K6" i="1"/>
  <c r="K5" i="1"/>
  <c r="N52" i="2" l="1"/>
  <c r="L60" i="2"/>
  <c r="L61" i="2" s="1"/>
  <c r="N46" i="2"/>
  <c r="N59" i="2"/>
  <c r="N60" i="2" s="1"/>
  <c r="N61" i="2" s="1"/>
  <c r="N47" i="2"/>
  <c r="N48" i="2"/>
  <c r="N64" i="2"/>
  <c r="N50" i="2"/>
  <c r="N65" i="2"/>
  <c r="N51" i="2"/>
  <c r="M71" i="2"/>
  <c r="N71" i="2" s="1"/>
  <c r="M66" i="2"/>
  <c r="M60" i="2"/>
  <c r="M61" i="2" s="1"/>
  <c r="K78" i="2"/>
  <c r="K76" i="2"/>
  <c r="J11" i="2"/>
  <c r="L66" i="2"/>
  <c r="L69" i="2"/>
  <c r="L75" i="2" s="1"/>
  <c r="K79" i="2"/>
  <c r="N9" i="2"/>
  <c r="J9" i="2"/>
  <c r="N5" i="2"/>
  <c r="N11" i="2"/>
  <c r="N23" i="2"/>
  <c r="J5" i="2"/>
  <c r="J18" i="2" s="1"/>
  <c r="O10" i="2"/>
  <c r="W10" i="2"/>
  <c r="X10" i="2"/>
  <c r="I10" i="2"/>
  <c r="I12" i="2" s="1"/>
  <c r="I14" i="2" s="1"/>
  <c r="I19" i="2"/>
  <c r="I18" i="2"/>
  <c r="M10" i="2"/>
  <c r="H10" i="2"/>
  <c r="H19" i="2" s="1"/>
  <c r="H18" i="2"/>
  <c r="L10" i="2"/>
  <c r="G10" i="2"/>
  <c r="K10" i="2"/>
  <c r="N66" i="2" l="1"/>
  <c r="N78" i="2" s="1"/>
  <c r="N69" i="2"/>
  <c r="N75" i="2" s="1"/>
  <c r="N76" i="2" s="1"/>
  <c r="M79" i="2"/>
  <c r="M78" i="2"/>
  <c r="N10" i="2"/>
  <c r="N19" i="2" s="1"/>
  <c r="M69" i="2"/>
  <c r="L76" i="2"/>
  <c r="L79" i="2"/>
  <c r="L78" i="2"/>
  <c r="N18" i="2"/>
  <c r="J10" i="2"/>
  <c r="O19" i="2"/>
  <c r="O12" i="2"/>
  <c r="O14" i="2" s="1"/>
  <c r="O45" i="2" s="1"/>
  <c r="W19" i="2"/>
  <c r="W12" i="2"/>
  <c r="W14" i="2" s="1"/>
  <c r="X19" i="2"/>
  <c r="X12" i="2"/>
  <c r="X14" i="2" s="1"/>
  <c r="I20" i="2"/>
  <c r="I15" i="2"/>
  <c r="M19" i="2"/>
  <c r="M12" i="2"/>
  <c r="M14" i="2" s="1"/>
  <c r="M45" i="2" s="1"/>
  <c r="H12" i="2"/>
  <c r="H14" i="2" s="1"/>
  <c r="L19" i="2"/>
  <c r="L12" i="2"/>
  <c r="L14" i="2" s="1"/>
  <c r="L45" i="2" s="1"/>
  <c r="G12" i="2"/>
  <c r="G14" i="2" s="1"/>
  <c r="G19" i="2"/>
  <c r="K19" i="2"/>
  <c r="K12" i="2"/>
  <c r="K14" i="2" s="1"/>
  <c r="M76" i="2" l="1"/>
  <c r="M75" i="2"/>
  <c r="N79" i="2"/>
  <c r="N81" i="2" s="1"/>
  <c r="N12" i="2"/>
  <c r="N14" i="2" s="1"/>
  <c r="N45" i="2" s="1"/>
  <c r="K45" i="2"/>
  <c r="N42" i="2"/>
  <c r="N43" i="2" s="1"/>
  <c r="O42" i="2"/>
  <c r="O43" i="2" s="1"/>
  <c r="H15" i="2"/>
  <c r="N20" i="2"/>
  <c r="N15" i="2"/>
  <c r="J19" i="2"/>
  <c r="J12" i="2"/>
  <c r="J14" i="2" s="1"/>
  <c r="O20" i="2"/>
  <c r="O15" i="2"/>
  <c r="W20" i="2"/>
  <c r="W15" i="2"/>
  <c r="X15" i="2"/>
  <c r="X20" i="2"/>
  <c r="M20" i="2"/>
  <c r="M15" i="2"/>
  <c r="H20" i="2"/>
  <c r="L20" i="2"/>
  <c r="L15" i="2"/>
  <c r="G15" i="2"/>
  <c r="G20" i="2"/>
  <c r="K20" i="2"/>
  <c r="K15" i="2"/>
  <c r="M42" i="2" l="1"/>
  <c r="M43" i="2" s="1"/>
  <c r="L42" i="2"/>
  <c r="L43" i="2" s="1"/>
  <c r="K42" i="2"/>
  <c r="K43" i="2" s="1"/>
  <c r="J20" i="2"/>
  <c r="J15" i="2"/>
</calcChain>
</file>

<file path=xl/sharedStrings.xml><?xml version="1.0" encoding="utf-8"?>
<sst xmlns="http://schemas.openxmlformats.org/spreadsheetml/2006/main" count="91" uniqueCount="77">
  <si>
    <t>Price</t>
  </si>
  <si>
    <t>Shares</t>
  </si>
  <si>
    <t>MC</t>
  </si>
  <si>
    <t>Cash</t>
  </si>
  <si>
    <t>Debt</t>
  </si>
  <si>
    <t>EV</t>
  </si>
  <si>
    <t>Revenue</t>
  </si>
  <si>
    <t>COGS</t>
  </si>
  <si>
    <t>R&amp;D</t>
  </si>
  <si>
    <t>S&amp;M</t>
  </si>
  <si>
    <t>G&amp;A</t>
  </si>
  <si>
    <t>OpEx</t>
  </si>
  <si>
    <t>OpIn</t>
  </si>
  <si>
    <t>Interest income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</si>
  <si>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</si>
  <si>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</si>
  <si>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</si>
  <si>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</si>
  <si>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</si>
  <si>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</si>
  <si>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</si>
  <si>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</si>
  <si>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</si>
  <si>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</si>
  <si>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</si>
  <si>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</si>
  <si>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</si>
  <si>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</si>
  <si>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</si>
  <si>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</si>
  <si>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</si>
  <si>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</si>
  <si>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</si>
  <si>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</si>
  <si>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</si>
  <si>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</si>
  <si>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</si>
  <si>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</si>
  <si>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</si>
  <si>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profit</t>
  </si>
  <si>
    <t>A/R</t>
  </si>
  <si>
    <t>Prepaid</t>
  </si>
  <si>
    <t>PP&amp;E</t>
  </si>
  <si>
    <t>Goodwill</t>
  </si>
  <si>
    <t>ROU</t>
  </si>
  <si>
    <t>Other</t>
  </si>
  <si>
    <t>Assets</t>
  </si>
  <si>
    <t>A/P</t>
  </si>
  <si>
    <t>Accrued expense</t>
  </si>
  <si>
    <t>Contingent consideration</t>
  </si>
  <si>
    <t>Liabilties</t>
  </si>
  <si>
    <t>S/E</t>
  </si>
  <si>
    <t>L+S/E</t>
  </si>
  <si>
    <t>TTM</t>
  </si>
  <si>
    <t>ROIC</t>
  </si>
  <si>
    <t>Model NI</t>
  </si>
  <si>
    <t>Reported NI</t>
  </si>
  <si>
    <t>D&amp;A</t>
  </si>
  <si>
    <t>SBC</t>
  </si>
  <si>
    <t>Contigent consideration</t>
  </si>
  <si>
    <t>Change in Contigent consideration</t>
  </si>
  <si>
    <t>DT</t>
  </si>
  <si>
    <t>Lease</t>
  </si>
  <si>
    <t>Working capital</t>
  </si>
  <si>
    <t>CFFO</t>
  </si>
  <si>
    <t>CapEx</t>
  </si>
  <si>
    <t>Capitalized software development</t>
  </si>
  <si>
    <t>CFFI</t>
  </si>
  <si>
    <t>ESOP</t>
  </si>
  <si>
    <t>CFFF</t>
  </si>
  <si>
    <t>CIC</t>
  </si>
  <si>
    <t>FCF</t>
  </si>
  <si>
    <t>FCF+SBC+CapEx</t>
  </si>
  <si>
    <t>Fee on debt</t>
  </si>
  <si>
    <t>Issuance SBC</t>
  </si>
  <si>
    <t>Buybacks</t>
  </si>
  <si>
    <t>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</si>
</sst>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14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right"/>
    </xf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05A2-8150-4373-8AC3-92675C0EC1B6}">
  <dimension ref="J4:K9"/>
  <sheetViews>
    <sheetView workbookViewId="0">
      <selection activeCell="K10" sqref="K10"/>
    </sheetView>
  </sheetViews>
  <sheetFormatPr defaultRowHeight="12.75" x14ac:dyDescent="0.2"/>
  <sheetData>
    <row r="4" spans="10:11" x14ac:dyDescent="0.2">
      <c r="J4" t="s">
        <v>0</v>
      </c>
      <c r="K4" s="1">
        <v>13</v>
      </c>
    </row>
    <row r="5" spans="10:11" x14ac:dyDescent="0.2">
      <c r="J5" t="s">
        <v>1</v>
      </c>
      <c r="K5" s="1">
        <f>46.052254+31.685652</f>
        <v>77.737905999999995</v>
      </c>
    </row>
    <row r="6" spans="10:11" x14ac:dyDescent="0.2">
      <c r="J6" t="s">
        <v>2</v>
      </c>
      <c r="K6" s="1">
        <f>+K4*K5</f>
        <v>1010.592778</v>
      </c>
    </row>
    <row r="7" spans="10:11" x14ac:dyDescent="0.2">
      <c r="J7" t="s">
        <v>3</v>
      </c>
      <c r="K7" s="1">
        <v>110.9</v>
      </c>
    </row>
    <row r="8" spans="10:11" x14ac:dyDescent="0.2">
      <c r="J8" t="s">
        <v>4</v>
      </c>
      <c r="K8" s="1">
        <v>0</v>
      </c>
    </row>
    <row r="9" spans="10:11" x14ac:dyDescent="0.2">
      <c r="J9" t="s">
        <v>5</v>
      </c>
      <c r="K9" s="1">
        <f>+K6-K7</f>
        <v>899.69277799999998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177F-4156-4B21-9E56-0AE97D9FF170}">
  <dimension ref="B1:AK81"/>
  <sheetViews>
    <sheetView tabSelected="1" workbookViewId="0">
      <pane xSplit="2" ySplit="2" topLeftCell="G57" activePane="bottomRight" state="frozen"/>
      <selection pane="topRight" activeCell="C1" sqref="C1"/>
      <selection pane="bottomLeft" activeCell="A3" sqref="A3"/>
      <selection pane="bottomRight" activeCell="O90" sqref="O90"/>
    </sheetView>
  </sheetViews>
  <sheetFormatPr defaultRowHeight="12.75" x14ac:dyDescent="0.2"/>
  <cols>
    <col min="1" max="1" width="3.140625" style="1" customWidth="1"/>
    <col min="2" max="2" width="15.28515625" style="1" bestFit="1" customWidth="1"/>
    <col min="3" max="16384" width="9.140625" style="1"/>
  </cols>
  <sheetData>
    <row r="1" spans="2:37" s="6" customFormat="1" x14ac:dyDescent="0.2"/>
    <row r="2" spans="2:37" s="5" customFormat="1" x14ac:dyDescent="0.2"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  <c r="O2" s="5" t="s">
        <v>35</v>
      </c>
      <c r="P2" s="5" t="s">
        <v>36</v>
      </c>
      <c r="Q2" s="5" t="s">
        <v>37</v>
      </c>
      <c r="R2" s="5" t="s">
        <v>38</v>
      </c>
      <c r="T2" s="8">
        <v>2019</v>
      </c>
      <c r="U2" s="8">
        <f>+T2+1</f>
        <v>2020</v>
      </c>
      <c r="V2" s="8">
        <f t="shared" ref="V2:AI2" si="0">+U2+1</f>
        <v>2021</v>
      </c>
      <c r="W2" s="8">
        <f t="shared" si="0"/>
        <v>2022</v>
      </c>
      <c r="X2" s="8">
        <f t="shared" si="0"/>
        <v>2023</v>
      </c>
      <c r="Y2" s="8">
        <f t="shared" si="0"/>
        <v>2024</v>
      </c>
      <c r="Z2" s="8">
        <f t="shared" si="0"/>
        <v>2025</v>
      </c>
      <c r="AA2" s="8">
        <f t="shared" si="0"/>
        <v>2026</v>
      </c>
      <c r="AB2" s="8">
        <f t="shared" si="0"/>
        <v>2027</v>
      </c>
      <c r="AC2" s="8">
        <f t="shared" si="0"/>
        <v>2028</v>
      </c>
      <c r="AD2" s="8">
        <f t="shared" si="0"/>
        <v>2029</v>
      </c>
      <c r="AE2" s="8">
        <f t="shared" si="0"/>
        <v>2030</v>
      </c>
      <c r="AF2" s="8">
        <f t="shared" si="0"/>
        <v>2031</v>
      </c>
      <c r="AG2" s="8">
        <f t="shared" si="0"/>
        <v>2032</v>
      </c>
      <c r="AH2" s="8">
        <f t="shared" si="0"/>
        <v>2033</v>
      </c>
      <c r="AI2" s="8">
        <f t="shared" si="0"/>
        <v>2034</v>
      </c>
      <c r="AJ2" s="8"/>
      <c r="AK2" s="8"/>
    </row>
    <row r="3" spans="2:37" s="2" customFormat="1" x14ac:dyDescent="0.2">
      <c r="B3" s="2" t="s">
        <v>6</v>
      </c>
      <c r="G3" s="2">
        <v>129.1</v>
      </c>
      <c r="H3" s="2">
        <v>125.2</v>
      </c>
      <c r="I3" s="2">
        <v>142.6</v>
      </c>
      <c r="J3" s="2">
        <f>+W3-SUM(G3:I3)</f>
        <v>142</v>
      </c>
      <c r="K3" s="2">
        <v>169.6</v>
      </c>
      <c r="L3" s="2">
        <v>143.30000000000001</v>
      </c>
      <c r="M3" s="2">
        <v>152.80000000000001</v>
      </c>
      <c r="N3" s="2">
        <f>+X3-SUM(K3:M3)</f>
        <v>133.69999999999999</v>
      </c>
      <c r="O3" s="2">
        <v>161.9</v>
      </c>
      <c r="W3" s="2">
        <v>538.9</v>
      </c>
      <c r="X3" s="2">
        <v>599.4</v>
      </c>
    </row>
    <row r="4" spans="2:37" x14ac:dyDescent="0.2">
      <c r="B4" s="1" t="s">
        <v>7</v>
      </c>
      <c r="G4" s="1">
        <v>7.7</v>
      </c>
      <c r="H4" s="1">
        <v>8.1999999999999993</v>
      </c>
      <c r="I4" s="1">
        <v>11.7</v>
      </c>
      <c r="J4" s="9">
        <f>+W4-SUM(G4:I4)</f>
        <v>12.2</v>
      </c>
      <c r="K4" s="1">
        <v>13.8</v>
      </c>
      <c r="L4" s="1">
        <v>13.1</v>
      </c>
      <c r="M4" s="1">
        <v>13.3</v>
      </c>
      <c r="N4" s="9">
        <f>+X4-SUM(K4:M4)</f>
        <v>13.799999999999997</v>
      </c>
      <c r="O4" s="1">
        <v>14.2</v>
      </c>
      <c r="W4" s="1">
        <v>39.799999999999997</v>
      </c>
      <c r="X4" s="1">
        <v>54</v>
      </c>
    </row>
    <row r="5" spans="2:37" x14ac:dyDescent="0.2">
      <c r="B5" s="1" t="s">
        <v>39</v>
      </c>
      <c r="G5" s="1">
        <f>+G3-G4</f>
        <v>121.39999999999999</v>
      </c>
      <c r="H5" s="1">
        <f>+H3-H4</f>
        <v>117</v>
      </c>
      <c r="I5" s="1">
        <f>+I3-I4</f>
        <v>130.9</v>
      </c>
      <c r="J5" s="1">
        <f>+J3-J4</f>
        <v>129.80000000000001</v>
      </c>
      <c r="K5" s="1">
        <f>+K3-K4</f>
        <v>155.79999999999998</v>
      </c>
      <c r="L5" s="1">
        <f>+L3-L4</f>
        <v>130.20000000000002</v>
      </c>
      <c r="M5" s="1">
        <f>+M3-M4</f>
        <v>139.5</v>
      </c>
      <c r="N5" s="1">
        <f>+N3-N4</f>
        <v>119.89999999999999</v>
      </c>
      <c r="O5" s="1">
        <f>+O3-O4</f>
        <v>147.70000000000002</v>
      </c>
      <c r="W5" s="1">
        <f>+W3-W4</f>
        <v>499.09999999999997</v>
      </c>
      <c r="X5" s="1">
        <f>+X3-X4</f>
        <v>545.4</v>
      </c>
    </row>
    <row r="6" spans="2:37" x14ac:dyDescent="0.2">
      <c r="B6" s="1" t="s">
        <v>8</v>
      </c>
      <c r="G6" s="1">
        <v>17.399999999999999</v>
      </c>
      <c r="H6" s="1">
        <v>20.100000000000001</v>
      </c>
      <c r="I6" s="1">
        <v>20.7</v>
      </c>
      <c r="J6" s="9">
        <f>+W6-SUM(G6:I6)</f>
        <v>19.399999999999991</v>
      </c>
      <c r="K6" s="1">
        <v>19.5</v>
      </c>
      <c r="L6" s="1">
        <v>20</v>
      </c>
      <c r="M6" s="1">
        <v>20.7</v>
      </c>
      <c r="N6" s="9">
        <f>+X6-SUM(K6:M6)</f>
        <v>20.299999999999997</v>
      </c>
      <c r="O6" s="1">
        <v>20.7</v>
      </c>
      <c r="W6" s="1">
        <v>77.599999999999994</v>
      </c>
      <c r="X6" s="1">
        <v>80.5</v>
      </c>
    </row>
    <row r="7" spans="2:37" x14ac:dyDescent="0.2">
      <c r="B7" s="1" t="s">
        <v>9</v>
      </c>
      <c r="G7" s="1">
        <v>96.1</v>
      </c>
      <c r="H7" s="1">
        <v>88.8</v>
      </c>
      <c r="I7" s="1">
        <v>103.2</v>
      </c>
      <c r="J7" s="9">
        <f>+W7-SUM(G7:I7)</f>
        <v>87.500000000000057</v>
      </c>
      <c r="K7" s="1">
        <v>121.7</v>
      </c>
      <c r="L7" s="1">
        <v>98.8</v>
      </c>
      <c r="M7" s="1">
        <v>100.6</v>
      </c>
      <c r="N7" s="9">
        <f>+X7-SUM(K7:M7)</f>
        <v>80.399999999999977</v>
      </c>
      <c r="O7" s="1">
        <v>107.9</v>
      </c>
      <c r="W7" s="1">
        <v>375.6</v>
      </c>
      <c r="X7" s="1">
        <v>401.5</v>
      </c>
    </row>
    <row r="8" spans="2:37" x14ac:dyDescent="0.2">
      <c r="B8" s="1" t="s">
        <v>10</v>
      </c>
      <c r="G8" s="1">
        <v>13.1</v>
      </c>
      <c r="H8" s="1">
        <v>15.3</v>
      </c>
      <c r="I8" s="1">
        <v>15.4</v>
      </c>
      <c r="J8" s="9">
        <f>+W8-SUM(G8:I8)</f>
        <v>14.400000000000006</v>
      </c>
      <c r="K8" s="1">
        <v>15.4</v>
      </c>
      <c r="L8" s="1">
        <v>15.6</v>
      </c>
      <c r="M8" s="1">
        <v>14.2</v>
      </c>
      <c r="N8" s="9">
        <f>+X8-SUM(K8:M8)</f>
        <v>14.599999999999994</v>
      </c>
      <c r="O8" s="1">
        <v>15.4</v>
      </c>
      <c r="W8" s="1">
        <v>58.2</v>
      </c>
      <c r="X8" s="1">
        <v>59.8</v>
      </c>
    </row>
    <row r="9" spans="2:37" x14ac:dyDescent="0.2">
      <c r="B9" s="1" t="s">
        <v>11</v>
      </c>
      <c r="G9" s="1">
        <f>+SUM(G6:G8)</f>
        <v>126.6</v>
      </c>
      <c r="H9" s="1">
        <f>+SUM(H6:H8)</f>
        <v>124.2</v>
      </c>
      <c r="I9" s="1">
        <f>+SUM(I6:I8)</f>
        <v>139.30000000000001</v>
      </c>
      <c r="J9" s="1">
        <f>+SUM(J6:J8)</f>
        <v>121.30000000000005</v>
      </c>
      <c r="K9" s="1">
        <f>+SUM(K6:K8)</f>
        <v>156.6</v>
      </c>
      <c r="L9" s="1">
        <f>+SUM(L6:L8)</f>
        <v>134.4</v>
      </c>
      <c r="M9" s="1">
        <f>+SUM(M6:M8)</f>
        <v>135.5</v>
      </c>
      <c r="N9" s="1">
        <f>+SUM(N6:N8)</f>
        <v>115.29999999999997</v>
      </c>
      <c r="O9" s="1">
        <f>+SUM(O6:O8)</f>
        <v>144</v>
      </c>
      <c r="W9" s="1">
        <f>+SUM(W6:W8)</f>
        <v>511.40000000000003</v>
      </c>
      <c r="X9" s="1">
        <f>+SUM(X6:X8)</f>
        <v>541.79999999999995</v>
      </c>
    </row>
    <row r="10" spans="2:37" x14ac:dyDescent="0.2">
      <c r="B10" s="1" t="s">
        <v>12</v>
      </c>
      <c r="G10" s="1">
        <f>+G5-G9</f>
        <v>-5.2000000000000028</v>
      </c>
      <c r="H10" s="1">
        <f>+H5-H9</f>
        <v>-7.2000000000000028</v>
      </c>
      <c r="I10" s="1">
        <f>+I5-I9</f>
        <v>-8.4000000000000057</v>
      </c>
      <c r="J10" s="1">
        <f>+J5-J9</f>
        <v>8.4999999999999574</v>
      </c>
      <c r="K10" s="1">
        <f>+K5-K9</f>
        <v>-0.80000000000001137</v>
      </c>
      <c r="L10" s="1">
        <f>+L5-L9</f>
        <v>-4.1999999999999886</v>
      </c>
      <c r="M10" s="1">
        <f>+M5-M9</f>
        <v>4</v>
      </c>
      <c r="N10" s="1">
        <f>+N5-N9</f>
        <v>4.6000000000000227</v>
      </c>
      <c r="O10" s="1">
        <f>+O5-O9</f>
        <v>3.7000000000000171</v>
      </c>
      <c r="W10" s="1">
        <f>+W5-W9</f>
        <v>-12.300000000000068</v>
      </c>
      <c r="X10" s="1">
        <f>+X5-X9</f>
        <v>3.6000000000000227</v>
      </c>
    </row>
    <row r="11" spans="2:37" x14ac:dyDescent="0.2">
      <c r="B11" s="1" t="s">
        <v>13</v>
      </c>
      <c r="G11" s="1">
        <v>-0.2</v>
      </c>
      <c r="H11" s="1">
        <f>0.1-0.2</f>
        <v>-0.1</v>
      </c>
      <c r="I11" s="1">
        <f>0.5-0.9</f>
        <v>-0.4</v>
      </c>
      <c r="J11" s="9">
        <f>+W11-SUM(G11:I11)</f>
        <v>-0.29999999999999993</v>
      </c>
      <c r="K11" s="1">
        <f>1-0.2-0.1</f>
        <v>0.70000000000000007</v>
      </c>
      <c r="L11" s="1">
        <f>0.8-0.2</f>
        <v>0.60000000000000009</v>
      </c>
      <c r="M11" s="1">
        <f>0.9-0.2</f>
        <v>0.7</v>
      </c>
      <c r="N11" s="9">
        <f>+X11-SUM(K11:M11)</f>
        <v>0.69999999999999973</v>
      </c>
      <c r="O11" s="1">
        <f>1.4-0.2-0.1</f>
        <v>1.0999999999999999</v>
      </c>
      <c r="W11" s="1">
        <f>1.5-2.5</f>
        <v>-1</v>
      </c>
      <c r="X11" s="1">
        <f>3.6-0.8-0.1</f>
        <v>2.6999999999999997</v>
      </c>
    </row>
    <row r="12" spans="2:37" x14ac:dyDescent="0.2">
      <c r="B12" s="1" t="s">
        <v>14</v>
      </c>
      <c r="G12" s="1">
        <f>+G10+G11</f>
        <v>-5.400000000000003</v>
      </c>
      <c r="H12" s="1">
        <f>+H10+H11</f>
        <v>-7.3000000000000025</v>
      </c>
      <c r="I12" s="1">
        <f>+I10+I11</f>
        <v>-8.800000000000006</v>
      </c>
      <c r="J12" s="1">
        <f>+J10+J11</f>
        <v>8.1999999999999567</v>
      </c>
      <c r="K12" s="1">
        <f>+K10+K11</f>
        <v>-0.1000000000000113</v>
      </c>
      <c r="L12" s="1">
        <f>+L10+L11</f>
        <v>-3.5999999999999885</v>
      </c>
      <c r="M12" s="1">
        <f>+M10+M11</f>
        <v>4.7</v>
      </c>
      <c r="N12" s="1">
        <f>+N10+N11</f>
        <v>5.300000000000022</v>
      </c>
      <c r="O12" s="1">
        <f>+O10+O11</f>
        <v>4.8000000000000167</v>
      </c>
      <c r="W12" s="1">
        <f>+W10+W11</f>
        <v>-13.300000000000068</v>
      </c>
      <c r="X12" s="1">
        <f>+X10+X11</f>
        <v>6.300000000000022</v>
      </c>
    </row>
    <row r="13" spans="2:37" x14ac:dyDescent="0.2">
      <c r="B13" s="1" t="s">
        <v>15</v>
      </c>
      <c r="G13" s="1">
        <v>1.2</v>
      </c>
      <c r="H13" s="1">
        <v>0.2</v>
      </c>
      <c r="I13" s="1">
        <v>-9.9</v>
      </c>
      <c r="J13" s="9">
        <f>+W13-SUM(G13:I13)</f>
        <v>-11.5</v>
      </c>
      <c r="K13" s="1">
        <v>-1.8</v>
      </c>
      <c r="L13" s="1">
        <v>7.1</v>
      </c>
      <c r="M13" s="1">
        <v>5.2</v>
      </c>
      <c r="N13" s="9">
        <f>+X13-SUM(K13:M13)</f>
        <v>7.6000000000000014</v>
      </c>
      <c r="O13" s="1">
        <v>3.7</v>
      </c>
      <c r="W13" s="1">
        <v>-20</v>
      </c>
      <c r="X13" s="1">
        <v>18.100000000000001</v>
      </c>
    </row>
    <row r="14" spans="2:37" x14ac:dyDescent="0.2">
      <c r="B14" s="1" t="s">
        <v>16</v>
      </c>
      <c r="G14" s="1">
        <f>+G12-G13</f>
        <v>-6.6000000000000032</v>
      </c>
      <c r="H14" s="1">
        <f>+H12-H13</f>
        <v>-7.5000000000000027</v>
      </c>
      <c r="I14" s="1">
        <f>+I12-I13</f>
        <v>1.0999999999999943</v>
      </c>
      <c r="J14" s="1">
        <f>+J12-J13</f>
        <v>19.699999999999957</v>
      </c>
      <c r="K14" s="1">
        <f>+K12-K13</f>
        <v>1.6999999999999886</v>
      </c>
      <c r="L14" s="1">
        <f>+L12-L13</f>
        <v>-10.699999999999989</v>
      </c>
      <c r="M14" s="1">
        <f>+M12-M13</f>
        <v>-0.5</v>
      </c>
      <c r="N14" s="1">
        <f>+N12-N13</f>
        <v>-2.2999999999999794</v>
      </c>
      <c r="O14" s="1">
        <f>+O12-O13</f>
        <v>1.1000000000000165</v>
      </c>
      <c r="W14" s="1">
        <f>+W12-W13</f>
        <v>6.6999999999999318</v>
      </c>
      <c r="X14" s="1">
        <f>+X12-X13</f>
        <v>-11.799999999999979</v>
      </c>
    </row>
    <row r="15" spans="2:37" x14ac:dyDescent="0.2">
      <c r="B15" s="1" t="s">
        <v>17</v>
      </c>
      <c r="G15" s="7">
        <f>+G14/G16</f>
        <v>-9.8654708520179407E-2</v>
      </c>
      <c r="H15" s="7">
        <f>+H14/H16</f>
        <v>-0.11127596439169142</v>
      </c>
      <c r="I15" s="7">
        <f>+I14/I16</f>
        <v>1.466666666666659E-2</v>
      </c>
      <c r="J15" s="7">
        <f>+J14/J16</f>
        <v>0.27903682719546685</v>
      </c>
      <c r="K15" s="7">
        <f>+K14/K16</f>
        <v>2.1329987452948413E-2</v>
      </c>
      <c r="L15" s="7">
        <f>+L14/L16</f>
        <v>-0.13932291666666652</v>
      </c>
      <c r="M15" s="7">
        <f>+M14/M16</f>
        <v>-6.4516129032258064E-3</v>
      </c>
      <c r="N15" s="7">
        <f>+N14/N16</f>
        <v>-2.9986962190351751E-2</v>
      </c>
      <c r="O15" s="7">
        <f>+O14/O16</f>
        <v>1.3664596273292131E-2</v>
      </c>
      <c r="W15" s="7">
        <f>+W14/W16</f>
        <v>9.4900849858355979E-2</v>
      </c>
      <c r="X15" s="7">
        <f>+X14/X16</f>
        <v>-0.15384615384615358</v>
      </c>
    </row>
    <row r="16" spans="2:37" x14ac:dyDescent="0.2">
      <c r="B16" s="1" t="s">
        <v>1</v>
      </c>
      <c r="G16" s="1">
        <v>66.900000000000006</v>
      </c>
      <c r="H16" s="1">
        <v>67.400000000000006</v>
      </c>
      <c r="I16" s="1">
        <v>75</v>
      </c>
      <c r="J16" s="1">
        <f>+W16</f>
        <v>70.599999999999994</v>
      </c>
      <c r="K16" s="1">
        <v>79.7</v>
      </c>
      <c r="L16" s="1">
        <v>76.8</v>
      </c>
      <c r="M16" s="1">
        <v>77.5</v>
      </c>
      <c r="N16" s="1">
        <f>+X16</f>
        <v>76.7</v>
      </c>
      <c r="O16" s="1">
        <v>80.5</v>
      </c>
      <c r="W16" s="1">
        <v>70.599999999999994</v>
      </c>
      <c r="X16" s="1">
        <v>76.7</v>
      </c>
    </row>
    <row r="18" spans="2:24" s="3" customFormat="1" x14ac:dyDescent="0.2">
      <c r="B18" s="3" t="s">
        <v>18</v>
      </c>
      <c r="G18" s="3">
        <f>+G5/G3</f>
        <v>0.94035631293570876</v>
      </c>
      <c r="H18" s="3">
        <f>+H5/H3</f>
        <v>0.93450479233226835</v>
      </c>
      <c r="I18" s="3">
        <f>+I5/I3</f>
        <v>0.91795231416549794</v>
      </c>
      <c r="J18" s="3">
        <f>+J5/J3</f>
        <v>0.91408450704225364</v>
      </c>
      <c r="K18" s="3">
        <f>+K5/K3</f>
        <v>0.91863207547169801</v>
      </c>
      <c r="L18" s="3">
        <f>+L5/L3</f>
        <v>0.90858339148639222</v>
      </c>
      <c r="M18" s="3">
        <f>+M5/M3</f>
        <v>0.91295811518324599</v>
      </c>
      <c r="N18" s="3">
        <f>+N5/N3</f>
        <v>0.89678384442782355</v>
      </c>
      <c r="O18" s="3">
        <f>+O5/O3</f>
        <v>0.91229153798641149</v>
      </c>
      <c r="W18" s="3">
        <f>+W5/W3</f>
        <v>0.92614585266283167</v>
      </c>
      <c r="X18" s="3">
        <f>+X5/X3</f>
        <v>0.90990990990990994</v>
      </c>
    </row>
    <row r="19" spans="2:24" s="3" customFormat="1" x14ac:dyDescent="0.2">
      <c r="B19" s="3" t="s">
        <v>19</v>
      </c>
      <c r="G19" s="3">
        <f>+G10/G3</f>
        <v>-4.0278853601859045E-2</v>
      </c>
      <c r="H19" s="3">
        <f>+H10/H3</f>
        <v>-5.7507987220447303E-2</v>
      </c>
      <c r="I19" s="3">
        <f>+I10/I3</f>
        <v>-5.8906030855540012E-2</v>
      </c>
      <c r="J19" s="3">
        <f>+J10/J3</f>
        <v>5.9859154929577163E-2</v>
      </c>
      <c r="K19" s="3">
        <f>+K10/K3</f>
        <v>-4.7169811320755392E-3</v>
      </c>
      <c r="L19" s="3">
        <f>+L10/L3</f>
        <v>-2.930914166085128E-2</v>
      </c>
      <c r="M19" s="3">
        <f>+M10/M3</f>
        <v>2.6178010471204185E-2</v>
      </c>
      <c r="N19" s="3">
        <f>+N10/N3</f>
        <v>3.4405385190725675E-2</v>
      </c>
      <c r="O19" s="3">
        <f>+O10/O3</f>
        <v>2.2853613341568973E-2</v>
      </c>
      <c r="W19" s="3">
        <f>+W10/W3</f>
        <v>-2.2824271664501891E-2</v>
      </c>
      <c r="X19" s="3">
        <f>+X10/X3</f>
        <v>6.0060060060060441E-3</v>
      </c>
    </row>
    <row r="20" spans="2:24" s="3" customFormat="1" x14ac:dyDescent="0.2">
      <c r="B20" s="3" t="s">
        <v>20</v>
      </c>
      <c r="G20" s="3">
        <f>+G14/G3</f>
        <v>-5.1123160340821094E-2</v>
      </c>
      <c r="H20" s="3">
        <f>+H14/H3</f>
        <v>-5.990415335463261E-2</v>
      </c>
      <c r="I20" s="3">
        <f>+I14/I3</f>
        <v>7.713884992987338E-3</v>
      </c>
      <c r="J20" s="3">
        <f>+J14/J3</f>
        <v>0.13873239436619689</v>
      </c>
      <c r="K20" s="3">
        <f>+K14/K3</f>
        <v>1.0023584905660311E-2</v>
      </c>
      <c r="L20" s="3">
        <f>+L14/L3</f>
        <v>-7.4668527564549808E-2</v>
      </c>
      <c r="M20" s="3">
        <f>+M14/M3</f>
        <v>-3.2722513089005231E-3</v>
      </c>
      <c r="N20" s="3">
        <f>+N14/N3</f>
        <v>-1.7202692595362598E-2</v>
      </c>
      <c r="O20" s="3">
        <f>+O14/O3</f>
        <v>6.794317479925982E-3</v>
      </c>
      <c r="W20" s="3">
        <f>+W14/W3</f>
        <v>1.2432733345704087E-2</v>
      </c>
      <c r="X20" s="3">
        <f>+X14/X3</f>
        <v>-1.9686353019686319E-2</v>
      </c>
    </row>
    <row r="21" spans="2:24" s="3" customFormat="1" x14ac:dyDescent="0.2">
      <c r="B21" s="3" t="s">
        <v>21</v>
      </c>
    </row>
    <row r="22" spans="2:24" s="3" customFormat="1" x14ac:dyDescent="0.2"/>
    <row r="23" spans="2:24" s="4" customFormat="1" x14ac:dyDescent="0.2">
      <c r="B23" s="4" t="s">
        <v>22</v>
      </c>
      <c r="K23" s="4">
        <f>+K3/G3-1</f>
        <v>0.31371030209140205</v>
      </c>
      <c r="L23" s="4">
        <f>+L3/H3-1</f>
        <v>0.14456869009584672</v>
      </c>
      <c r="M23" s="4">
        <f>+M3/I3-1</f>
        <v>7.1528751753155762E-2</v>
      </c>
      <c r="N23" s="4">
        <f>+N3/J3-1</f>
        <v>-5.8450704225352146E-2</v>
      </c>
      <c r="O23" s="4">
        <f>+O3/K3-1</f>
        <v>-4.5400943396226356E-2</v>
      </c>
      <c r="W23" s="4" t="e">
        <f>+W3/S3-1</f>
        <v>#DIV/0!</v>
      </c>
      <c r="X23" s="4">
        <f>+X3/W3-1</f>
        <v>0.11226572647986632</v>
      </c>
    </row>
    <row r="25" spans="2:24" x14ac:dyDescent="0.2">
      <c r="B25" s="1" t="s">
        <v>3</v>
      </c>
      <c r="K25" s="1">
        <v>100.8</v>
      </c>
      <c r="L25" s="1">
        <v>67.099999999999994</v>
      </c>
      <c r="M25" s="1">
        <v>86.6</v>
      </c>
      <c r="N25" s="1">
        <v>100.4</v>
      </c>
      <c r="O25" s="1">
        <v>110.9</v>
      </c>
    </row>
    <row r="26" spans="2:24" x14ac:dyDescent="0.2">
      <c r="B26" s="1" t="s">
        <v>40</v>
      </c>
      <c r="K26" s="1">
        <v>97.5</v>
      </c>
      <c r="L26" s="1">
        <v>92.4</v>
      </c>
      <c r="M26" s="1">
        <v>84.4</v>
      </c>
      <c r="N26" s="1">
        <v>75.5</v>
      </c>
      <c r="O26" s="1">
        <v>93.9</v>
      </c>
    </row>
    <row r="27" spans="2:24" x14ac:dyDescent="0.2">
      <c r="B27" s="1" t="s">
        <v>41</v>
      </c>
      <c r="K27" s="1">
        <v>20.5</v>
      </c>
      <c r="L27" s="1">
        <v>21.7</v>
      </c>
      <c r="M27" s="1">
        <v>23.8</v>
      </c>
      <c r="N27" s="1">
        <v>22.5</v>
      </c>
      <c r="O27" s="1">
        <v>19.399999999999999</v>
      </c>
    </row>
    <row r="28" spans="2:24" x14ac:dyDescent="0.2">
      <c r="B28" s="1" t="s">
        <v>42</v>
      </c>
      <c r="K28" s="1">
        <v>50.8</v>
      </c>
      <c r="L28" s="1">
        <v>52.5</v>
      </c>
      <c r="M28" s="1">
        <v>52.8</v>
      </c>
      <c r="N28" s="1">
        <v>52.6</v>
      </c>
      <c r="O28" s="1">
        <v>50.6</v>
      </c>
    </row>
    <row r="29" spans="2:24" x14ac:dyDescent="0.2">
      <c r="B29" s="1" t="s">
        <v>43</v>
      </c>
      <c r="K29" s="1">
        <f>111.4+59.5</f>
        <v>170.9</v>
      </c>
      <c r="L29" s="1">
        <f>111.5+54.9</f>
        <v>166.4</v>
      </c>
      <c r="M29" s="1">
        <f>111.3+50.5</f>
        <v>161.80000000000001</v>
      </c>
      <c r="N29" s="1">
        <f>111.5+46.9</f>
        <v>158.4</v>
      </c>
      <c r="O29" s="1">
        <f>111.5+43.5</f>
        <v>155</v>
      </c>
    </row>
    <row r="30" spans="2:24" x14ac:dyDescent="0.2">
      <c r="B30" s="1" t="s">
        <v>44</v>
      </c>
      <c r="K30" s="1">
        <v>10.6</v>
      </c>
      <c r="L30" s="1">
        <v>9.9</v>
      </c>
      <c r="M30" s="1">
        <v>9.1999999999999993</v>
      </c>
      <c r="N30" s="1">
        <v>7.2</v>
      </c>
      <c r="O30" s="1">
        <v>6.5</v>
      </c>
    </row>
    <row r="31" spans="2:24" x14ac:dyDescent="0.2">
      <c r="B31" s="1" t="s">
        <v>45</v>
      </c>
      <c r="K31" s="1">
        <v>1</v>
      </c>
      <c r="L31" s="1">
        <v>0.6</v>
      </c>
      <c r="M31" s="1">
        <v>2.2000000000000002</v>
      </c>
      <c r="N31" s="1">
        <v>2</v>
      </c>
      <c r="O31" s="1">
        <v>9.8000000000000007</v>
      </c>
    </row>
    <row r="32" spans="2:24" s="2" customFormat="1" x14ac:dyDescent="0.2">
      <c r="B32" s="2" t="s">
        <v>46</v>
      </c>
      <c r="K32" s="2">
        <f>+SUM(K25:K31)</f>
        <v>452.1</v>
      </c>
      <c r="L32" s="2">
        <f>+SUM(L25:L31)</f>
        <v>410.6</v>
      </c>
      <c r="M32" s="2">
        <f>+SUM(M25:M31)</f>
        <v>420.8</v>
      </c>
      <c r="N32" s="2">
        <f>+SUM(N25:N31)</f>
        <v>418.59999999999997</v>
      </c>
      <c r="O32" s="2">
        <f>+SUM(O25:O31)</f>
        <v>446.1</v>
      </c>
    </row>
    <row r="33" spans="2:15" s="2" customFormat="1" x14ac:dyDescent="0.2"/>
    <row r="34" spans="2:15" x14ac:dyDescent="0.2">
      <c r="B34" s="1" t="s">
        <v>47</v>
      </c>
      <c r="K34" s="1">
        <v>12</v>
      </c>
      <c r="L34" s="1">
        <v>1.6</v>
      </c>
      <c r="M34" s="1">
        <v>13.1</v>
      </c>
      <c r="N34" s="1">
        <v>1.7</v>
      </c>
      <c r="O34" s="1">
        <v>15.3</v>
      </c>
    </row>
    <row r="35" spans="2:15" x14ac:dyDescent="0.2">
      <c r="B35" s="1" t="s">
        <v>48</v>
      </c>
      <c r="K35" s="1">
        <v>37.1</v>
      </c>
      <c r="L35" s="1">
        <v>33.4</v>
      </c>
      <c r="M35" s="1">
        <v>31.9</v>
      </c>
      <c r="N35" s="1">
        <v>35.6</v>
      </c>
      <c r="O35" s="1">
        <v>38.5</v>
      </c>
    </row>
    <row r="36" spans="2:15" x14ac:dyDescent="0.2">
      <c r="B36" s="1" t="s">
        <v>49</v>
      </c>
      <c r="K36" s="1">
        <v>30.9</v>
      </c>
      <c r="L36" s="1">
        <v>0</v>
      </c>
      <c r="M36" s="1">
        <v>0</v>
      </c>
      <c r="N36" s="1">
        <v>0</v>
      </c>
      <c r="O36" s="1">
        <v>0</v>
      </c>
    </row>
    <row r="37" spans="2:15" x14ac:dyDescent="0.2">
      <c r="B37" s="1" t="s">
        <v>45</v>
      </c>
      <c r="K37" s="1">
        <v>10.3</v>
      </c>
      <c r="L37" s="1">
        <v>10.6</v>
      </c>
      <c r="M37" s="1">
        <v>11.6</v>
      </c>
      <c r="N37" s="1">
        <v>14.4</v>
      </c>
      <c r="O37" s="1">
        <v>13.6</v>
      </c>
    </row>
    <row r="38" spans="2:15" s="2" customFormat="1" x14ac:dyDescent="0.2">
      <c r="B38" s="2" t="s">
        <v>50</v>
      </c>
      <c r="K38" s="2">
        <f>+SUM(K34:K37)</f>
        <v>90.3</v>
      </c>
      <c r="L38" s="2">
        <f>+SUM(L34:L37)</f>
        <v>45.6</v>
      </c>
      <c r="M38" s="2">
        <f>+SUM(M34:M37)</f>
        <v>56.6</v>
      </c>
      <c r="N38" s="2">
        <f>+SUM(N34:N37)</f>
        <v>51.7</v>
      </c>
      <c r="O38" s="2">
        <f>+SUM(O34:O37)</f>
        <v>67.399999999999991</v>
      </c>
    </row>
    <row r="39" spans="2:15" x14ac:dyDescent="0.2">
      <c r="B39" s="1" t="s">
        <v>51</v>
      </c>
      <c r="K39" s="1">
        <v>361.8</v>
      </c>
      <c r="L39" s="1">
        <v>365</v>
      </c>
      <c r="M39" s="1">
        <v>364.2</v>
      </c>
      <c r="N39" s="1">
        <v>366.9</v>
      </c>
      <c r="O39" s="1">
        <v>378.7</v>
      </c>
    </row>
    <row r="40" spans="2:15" x14ac:dyDescent="0.2">
      <c r="B40" s="1" t="s">
        <v>52</v>
      </c>
      <c r="K40" s="1">
        <f>+K39+K38</f>
        <v>452.1</v>
      </c>
      <c r="L40" s="1">
        <f>+L39+L38</f>
        <v>410.6</v>
      </c>
      <c r="M40" s="1">
        <f>+M39+M38</f>
        <v>420.8</v>
      </c>
      <c r="N40" s="1">
        <f>+N39+N38</f>
        <v>418.59999999999997</v>
      </c>
      <c r="O40" s="1">
        <f>+O39+O38</f>
        <v>446.09999999999997</v>
      </c>
    </row>
    <row r="42" spans="2:15" x14ac:dyDescent="0.2">
      <c r="B42" s="1" t="s">
        <v>53</v>
      </c>
      <c r="K42" s="1">
        <f>+SUM(H14:K14)</f>
        <v>14.999999999999936</v>
      </c>
      <c r="L42" s="1">
        <f>+SUM(I14:L14)</f>
        <v>11.799999999999951</v>
      </c>
      <c r="M42" s="1">
        <f>+SUM(J14:M14)</f>
        <v>10.199999999999957</v>
      </c>
      <c r="N42" s="1">
        <f>+SUM(K14:N14)</f>
        <v>-11.799999999999979</v>
      </c>
      <c r="O42" s="1">
        <f>+SUM(L14:O14)</f>
        <v>-12.399999999999952</v>
      </c>
    </row>
    <row r="43" spans="2:15" s="3" customFormat="1" x14ac:dyDescent="0.2">
      <c r="B43" s="3" t="s">
        <v>54</v>
      </c>
      <c r="K43" s="3">
        <f>+K42/(K26+K27+K28+K30+K31)</f>
        <v>8.3148558758314492E-2</v>
      </c>
      <c r="L43" s="3">
        <f>+L42/(L26+L27+L28+L30+L31)</f>
        <v>6.6629023150761996E-2</v>
      </c>
      <c r="M43" s="3">
        <f>+M42/(M26+M27+M28+M30+M31)</f>
        <v>5.9164733178654047E-2</v>
      </c>
      <c r="N43" s="3">
        <f>+N42/(N26+N27+N28+N30+N31)</f>
        <v>-7.3842302878598123E-2</v>
      </c>
      <c r="O43" s="3">
        <f>+O42/(O26+O27+O28+O30+O31)</f>
        <v>-6.8812430632630137E-2</v>
      </c>
    </row>
    <row r="45" spans="2:15" x14ac:dyDescent="0.2">
      <c r="B45" s="1" t="s">
        <v>55</v>
      </c>
      <c r="K45" s="1">
        <f>+K14</f>
        <v>1.6999999999999886</v>
      </c>
      <c r="L45" s="1">
        <f>+L14</f>
        <v>-10.699999999999989</v>
      </c>
      <c r="M45" s="1">
        <f>+M14</f>
        <v>-0.5</v>
      </c>
      <c r="N45" s="1">
        <f>+N14</f>
        <v>-2.2999999999999794</v>
      </c>
      <c r="O45" s="1">
        <f>+O14</f>
        <v>1.1000000000000165</v>
      </c>
    </row>
    <row r="46" spans="2:15" x14ac:dyDescent="0.2">
      <c r="B46" s="1" t="s">
        <v>56</v>
      </c>
      <c r="K46" s="1">
        <v>1.7</v>
      </c>
      <c r="L46" s="1">
        <f>-9-K46</f>
        <v>-10.7</v>
      </c>
      <c r="M46" s="1">
        <f>-9.5-SUM(K46:L46)</f>
        <v>-0.5</v>
      </c>
      <c r="N46" s="1">
        <f>-11.8-SUM(K46:M46)</f>
        <v>-2.3000000000000007</v>
      </c>
      <c r="O46" s="1">
        <v>1.1000000000000001</v>
      </c>
    </row>
    <row r="47" spans="2:15" x14ac:dyDescent="0.2">
      <c r="B47" s="1" t="s">
        <v>57</v>
      </c>
      <c r="K47" s="1">
        <v>11.7</v>
      </c>
      <c r="L47" s="1">
        <f>23.9-K47</f>
        <v>12.2</v>
      </c>
      <c r="M47" s="1">
        <f>36-SUM(K47:L47)</f>
        <v>12.100000000000001</v>
      </c>
      <c r="N47" s="1">
        <f>48.2-SUM(K47:M47)</f>
        <v>12.200000000000003</v>
      </c>
      <c r="O47" s="1">
        <v>11.9</v>
      </c>
    </row>
    <row r="48" spans="2:15" x14ac:dyDescent="0.2">
      <c r="B48" s="1" t="s">
        <v>58</v>
      </c>
      <c r="K48" s="1">
        <v>8.6</v>
      </c>
      <c r="L48" s="1">
        <f>19.9-K48</f>
        <v>11.299999999999999</v>
      </c>
      <c r="M48" s="1">
        <f>29.3-SUM(K48:L48)</f>
        <v>9.4000000000000021</v>
      </c>
      <c r="N48" s="1">
        <f>38.8-SUM(K48:M48)</f>
        <v>9.4999999999999964</v>
      </c>
      <c r="O48" s="1">
        <v>8.6999999999999993</v>
      </c>
    </row>
    <row r="49" spans="2:15" x14ac:dyDescent="0.2">
      <c r="B49" s="1" t="s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 spans="2:15" x14ac:dyDescent="0.2">
      <c r="B50" s="1" t="s">
        <v>61</v>
      </c>
      <c r="K50" s="1">
        <v>-0.1</v>
      </c>
      <c r="L50" s="1">
        <f>-0.3-K50</f>
        <v>-0.19999999999999998</v>
      </c>
      <c r="M50" s="1">
        <f>-0.4-SUM(K50:L50)</f>
        <v>-0.10000000000000003</v>
      </c>
      <c r="N50" s="1">
        <f>-0.5-SUM(K50:M50)</f>
        <v>-9.9999999999999978E-2</v>
      </c>
      <c r="O50" s="1">
        <v>-0.1</v>
      </c>
    </row>
    <row r="51" spans="2:15" x14ac:dyDescent="0.2">
      <c r="B51" s="1" t="s">
        <v>62</v>
      </c>
      <c r="K51" s="1">
        <v>0.7</v>
      </c>
      <c r="L51" s="1">
        <f>1.4-K51</f>
        <v>0.7</v>
      </c>
      <c r="M51" s="1">
        <f>2.1-SUM(K51:L51)</f>
        <v>0.70000000000000018</v>
      </c>
      <c r="N51" s="1">
        <f>2.8-SUM(K51:M51)</f>
        <v>0.69999999999999973</v>
      </c>
      <c r="O51" s="1">
        <v>0.5</v>
      </c>
    </row>
    <row r="52" spans="2:15" x14ac:dyDescent="0.2">
      <c r="B52" s="1" t="s">
        <v>45</v>
      </c>
      <c r="K52" s="1">
        <v>1.4</v>
      </c>
      <c r="L52" s="1">
        <f>1.2-K52</f>
        <v>-0.19999999999999996</v>
      </c>
      <c r="M52" s="1">
        <f>1.2-SUM(K52:L52)</f>
        <v>0</v>
      </c>
      <c r="N52" s="1">
        <f>2.9-SUM(K52:M52)</f>
        <v>1.7</v>
      </c>
      <c r="O52" s="1">
        <v>0.2</v>
      </c>
    </row>
    <row r="53" spans="2:15" x14ac:dyDescent="0.2">
      <c r="B53" s="1" t="s">
        <v>40</v>
      </c>
      <c r="K53" s="1">
        <v>-11.8</v>
      </c>
      <c r="L53" s="1">
        <f>-6.4-K53</f>
        <v>5.4</v>
      </c>
      <c r="M53" s="1">
        <f>1.6-SUM(K53:L53)</f>
        <v>8</v>
      </c>
      <c r="N53" s="1">
        <f>10.7-SUM(K53:M53)</f>
        <v>9.1</v>
      </c>
      <c r="O53" s="1">
        <v>-18.5</v>
      </c>
    </row>
    <row r="54" spans="2:15" x14ac:dyDescent="0.2">
      <c r="B54" s="1" t="s">
        <v>41</v>
      </c>
      <c r="K54" s="1">
        <v>-2.6</v>
      </c>
      <c r="L54" s="1">
        <f>-3.2-K54</f>
        <v>-0.60000000000000009</v>
      </c>
      <c r="M54" s="1">
        <f>-6.2-SUM(K54:L54)</f>
        <v>-3</v>
      </c>
      <c r="N54" s="1">
        <f>-4.4-SUM(K54:M54)</f>
        <v>1.7999999999999998</v>
      </c>
      <c r="O54" s="1">
        <v>3</v>
      </c>
    </row>
    <row r="55" spans="2:15" x14ac:dyDescent="0.2">
      <c r="B55" s="1" t="s">
        <v>47</v>
      </c>
      <c r="K55" s="1">
        <v>8.6</v>
      </c>
      <c r="L55" s="1">
        <f>-1.9-K55</f>
        <v>-10.5</v>
      </c>
      <c r="M55" s="1">
        <f>7.6-SUM(K55:L55)</f>
        <v>9.5</v>
      </c>
      <c r="N55" s="1">
        <f>-1.8-SUM(K55:M55)</f>
        <v>-9.4</v>
      </c>
      <c r="O55" s="1">
        <v>13.4</v>
      </c>
    </row>
    <row r="56" spans="2:15" x14ac:dyDescent="0.2">
      <c r="B56" s="1" t="s">
        <v>48</v>
      </c>
      <c r="K56" s="1">
        <v>-0.8</v>
      </c>
      <c r="L56" s="1">
        <f>-4.6-K56</f>
        <v>-3.8</v>
      </c>
      <c r="M56" s="1">
        <f>-5.9-SUM(K56:L56)</f>
        <v>-1.3000000000000007</v>
      </c>
      <c r="N56" s="1">
        <f>-2.4-SUM(K56:M56)</f>
        <v>3.5000000000000004</v>
      </c>
      <c r="O56" s="1">
        <v>3</v>
      </c>
    </row>
    <row r="57" spans="2:15" x14ac:dyDescent="0.2">
      <c r="B57" s="1" t="s">
        <v>59</v>
      </c>
      <c r="K57" s="1">
        <v>0</v>
      </c>
      <c r="L57" s="1">
        <v>0</v>
      </c>
      <c r="M57" s="1">
        <v>-14</v>
      </c>
      <c r="N57" s="1">
        <f>-14-SUM(K57:M57)</f>
        <v>0</v>
      </c>
      <c r="O57" s="1">
        <v>0</v>
      </c>
    </row>
    <row r="58" spans="2:15" x14ac:dyDescent="0.2">
      <c r="B58" s="1" t="s">
        <v>62</v>
      </c>
      <c r="K58" s="1">
        <v>-0.7</v>
      </c>
      <c r="L58" s="1">
        <f>-14-K58</f>
        <v>-13.3</v>
      </c>
      <c r="M58" s="1">
        <f>-2.3-SUM(K58:L58)</f>
        <v>11.7</v>
      </c>
      <c r="N58" s="1">
        <f>-3.1-SUM(K58:M58)</f>
        <v>-0.79999999999999938</v>
      </c>
      <c r="O58" s="1">
        <v>-0.8</v>
      </c>
    </row>
    <row r="59" spans="2:15" x14ac:dyDescent="0.2">
      <c r="B59" s="1" t="s">
        <v>45</v>
      </c>
      <c r="K59" s="1">
        <v>-0.3</v>
      </c>
      <c r="L59" s="1">
        <f>-1.5-K59</f>
        <v>-1.2</v>
      </c>
      <c r="M59" s="1">
        <f>3-SUM(K59:L59)</f>
        <v>4.5</v>
      </c>
      <c r="N59" s="1">
        <f>6.7-SUM(K59:M59)</f>
        <v>3.7</v>
      </c>
      <c r="O59" s="1">
        <v>0.3</v>
      </c>
    </row>
    <row r="60" spans="2:15" x14ac:dyDescent="0.2">
      <c r="B60" s="1" t="s">
        <v>63</v>
      </c>
      <c r="K60" s="1">
        <f>+SUM(K53:K59)</f>
        <v>-7.6000000000000005</v>
      </c>
      <c r="L60" s="1">
        <f>+SUM(L53:L59)</f>
        <v>-24</v>
      </c>
      <c r="M60" s="1">
        <f>+SUM(M53:M59)</f>
        <v>15.399999999999999</v>
      </c>
      <c r="N60" s="1">
        <f>+SUM(N53:N59)</f>
        <v>7.8999999999999995</v>
      </c>
      <c r="O60" s="1">
        <f>+SUM(O53:O59)</f>
        <v>0.4000000000000003</v>
      </c>
    </row>
    <row r="61" spans="2:15" x14ac:dyDescent="0.2">
      <c r="B61" s="1" t="s">
        <v>64</v>
      </c>
      <c r="K61" s="1">
        <f>+K60+SUM(K46:K52)</f>
        <v>16.399999999999995</v>
      </c>
      <c r="L61" s="1">
        <f>+L60+SUM(L46:L52)</f>
        <v>-10.9</v>
      </c>
      <c r="M61" s="1">
        <f>+M60+SUM(M46:M52)</f>
        <v>37</v>
      </c>
      <c r="N61" s="1">
        <f>+N60+SUM(N46:N52)</f>
        <v>29.599999999999994</v>
      </c>
      <c r="O61" s="1">
        <f>+O60+SUM(O46:O52)</f>
        <v>22.699999999999996</v>
      </c>
    </row>
    <row r="63" spans="2:15" x14ac:dyDescent="0.2">
      <c r="B63" s="1" t="s">
        <v>76</v>
      </c>
      <c r="O63" s="1">
        <v>-8.1</v>
      </c>
    </row>
    <row r="64" spans="2:15" x14ac:dyDescent="0.2">
      <c r="B64" s="1" t="s">
        <v>66</v>
      </c>
      <c r="K64" s="1">
        <v>-7.3</v>
      </c>
      <c r="L64" s="1">
        <f>-14.9-K64</f>
        <v>-7.6000000000000005</v>
      </c>
      <c r="M64" s="1">
        <f>-19.6-SUM(K64:L64)</f>
        <v>-4.7000000000000011</v>
      </c>
      <c r="N64" s="1">
        <f>-28.8-SUM(K64:M64)</f>
        <v>-9.1999999999999993</v>
      </c>
      <c r="O64" s="1">
        <v>-5.4</v>
      </c>
    </row>
    <row r="65" spans="2:15" x14ac:dyDescent="0.2">
      <c r="B65" s="1" t="s">
        <v>65</v>
      </c>
      <c r="K65" s="1">
        <v>-0.3</v>
      </c>
      <c r="L65" s="1">
        <f>-0.4-K65</f>
        <v>-0.10000000000000003</v>
      </c>
      <c r="M65" s="1">
        <f>-0.5-SUM(K65:L65)</f>
        <v>-9.9999999999999978E-2</v>
      </c>
      <c r="N65" s="1">
        <f>-0.7-SUM(K65:M65)</f>
        <v>-0.19999999999999996</v>
      </c>
      <c r="O65" s="1">
        <v>0</v>
      </c>
    </row>
    <row r="66" spans="2:15" x14ac:dyDescent="0.2">
      <c r="B66" s="1" t="s">
        <v>67</v>
      </c>
      <c r="K66" s="1">
        <f>+SUM(K64:K65)</f>
        <v>-7.6</v>
      </c>
      <c r="L66" s="1">
        <f>+SUM(L64:L65)</f>
        <v>-7.7</v>
      </c>
      <c r="M66" s="1">
        <f>+SUM(M64:M65)</f>
        <v>-4.8000000000000007</v>
      </c>
      <c r="N66" s="1">
        <f>+SUM(N64:N65)</f>
        <v>-9.3999999999999986</v>
      </c>
      <c r="O66" s="1">
        <f>+SUM(O63:O65)</f>
        <v>-13.5</v>
      </c>
    </row>
    <row r="68" spans="2:15" x14ac:dyDescent="0.2">
      <c r="B68" s="1" t="s">
        <v>59</v>
      </c>
      <c r="K68" s="1">
        <v>0</v>
      </c>
      <c r="L68" s="1">
        <v>-16.899999999999999</v>
      </c>
      <c r="M68" s="1">
        <f>-16.9-SUM(K68:L68)</f>
        <v>0</v>
      </c>
      <c r="N68" s="1">
        <f>-16.9-SUM(K68:M68)</f>
        <v>0</v>
      </c>
      <c r="O68" s="1">
        <v>0</v>
      </c>
    </row>
    <row r="69" spans="2:15" x14ac:dyDescent="0.2">
      <c r="B69" s="1" t="s">
        <v>4</v>
      </c>
      <c r="K69" s="1">
        <f>7.5-7.5</f>
        <v>0</v>
      </c>
      <c r="L69" s="1">
        <f>7.5-7.5-K69</f>
        <v>0</v>
      </c>
      <c r="M69" s="1">
        <f>7.5-7.5-SUM(K69:L69)</f>
        <v>0</v>
      </c>
      <c r="N69" s="1">
        <f>7.5-7.5-SUM(K69:M69)</f>
        <v>0</v>
      </c>
      <c r="O69" s="1">
        <v>0</v>
      </c>
    </row>
    <row r="70" spans="2:15" x14ac:dyDescent="0.2">
      <c r="B70" s="1" t="s">
        <v>73</v>
      </c>
      <c r="K70" s="1">
        <v>0</v>
      </c>
      <c r="L70" s="1">
        <v>0</v>
      </c>
      <c r="M70" s="1">
        <v>-1.1000000000000001</v>
      </c>
      <c r="N70" s="1">
        <f>-1.4-SUM(K70:M70)</f>
        <v>-0.29999999999999982</v>
      </c>
      <c r="O70" s="1">
        <v>0</v>
      </c>
    </row>
    <row r="71" spans="2:15" x14ac:dyDescent="0.2">
      <c r="B71" s="1" t="s">
        <v>68</v>
      </c>
      <c r="K71" s="1">
        <f>8.4-0.3</f>
        <v>8.1</v>
      </c>
      <c r="L71" s="1">
        <f>8.8-K71</f>
        <v>0.70000000000000107</v>
      </c>
      <c r="M71" s="1">
        <f>9.1-SUM(K71:L71)</f>
        <v>0.29999999999999893</v>
      </c>
      <c r="N71" s="1">
        <f>10.2-SUM(K71:M71)</f>
        <v>1.0999999999999996</v>
      </c>
      <c r="O71" s="1">
        <v>1.7</v>
      </c>
    </row>
    <row r="72" spans="2:15" x14ac:dyDescent="0.2">
      <c r="B72" s="1" t="s">
        <v>74</v>
      </c>
      <c r="K72" s="1">
        <v>0</v>
      </c>
      <c r="L72" s="1">
        <v>0</v>
      </c>
      <c r="M72" s="1">
        <v>1.9</v>
      </c>
      <c r="N72" s="1">
        <f>3-SUM(K72:M72)</f>
        <v>1.1000000000000001</v>
      </c>
      <c r="O72" s="1">
        <v>0</v>
      </c>
    </row>
    <row r="73" spans="2:15" x14ac:dyDescent="0.2">
      <c r="B73" s="1" t="s">
        <v>75</v>
      </c>
      <c r="K73" s="1">
        <v>0</v>
      </c>
      <c r="L73" s="1">
        <v>0</v>
      </c>
      <c r="M73" s="1">
        <v>-12.1</v>
      </c>
      <c r="N73" s="1">
        <f>0-SUM(K73:M73)</f>
        <v>12.1</v>
      </c>
      <c r="O73" s="1">
        <v>0</v>
      </c>
    </row>
    <row r="74" spans="2:15" x14ac:dyDescent="0.2">
      <c r="B74" s="1" t="s">
        <v>15</v>
      </c>
      <c r="K74" s="1">
        <v>0</v>
      </c>
      <c r="L74" s="1">
        <v>0</v>
      </c>
      <c r="M74" s="1">
        <v>-0.7</v>
      </c>
      <c r="N74" s="1">
        <f>-1.1-SUM(K74:M74)</f>
        <v>-0.40000000000000013</v>
      </c>
      <c r="O74" s="1">
        <v>-0.4</v>
      </c>
    </row>
    <row r="75" spans="2:15" x14ac:dyDescent="0.2">
      <c r="B75" s="1" t="s">
        <v>69</v>
      </c>
      <c r="K75" s="1">
        <f>+SUM(K68:K74)</f>
        <v>8.1</v>
      </c>
      <c r="L75" s="1">
        <f t="shared" ref="L75:O75" si="1">+SUM(L68:L74)</f>
        <v>-16.199999999999996</v>
      </c>
      <c r="M75" s="1">
        <f t="shared" si="1"/>
        <v>-11.7</v>
      </c>
      <c r="N75" s="1">
        <f t="shared" si="1"/>
        <v>13.6</v>
      </c>
      <c r="O75" s="1">
        <f t="shared" si="1"/>
        <v>1.2999999999999998</v>
      </c>
    </row>
    <row r="76" spans="2:15" x14ac:dyDescent="0.2">
      <c r="B76" s="1" t="s">
        <v>70</v>
      </c>
      <c r="K76" s="1">
        <f>+K61+K66+K75</f>
        <v>16.899999999999995</v>
      </c>
      <c r="L76" s="1">
        <f>+L61+L66+L75</f>
        <v>-34.799999999999997</v>
      </c>
      <c r="M76" s="1">
        <f>+M61+M66+M75</f>
        <v>20.500000000000004</v>
      </c>
      <c r="N76" s="1">
        <f>+N61+N66+N75</f>
        <v>33.799999999999997</v>
      </c>
      <c r="O76" s="1">
        <f>+O61+O66+O75</f>
        <v>10.499999999999996</v>
      </c>
    </row>
    <row r="78" spans="2:15" x14ac:dyDescent="0.2">
      <c r="B78" s="1" t="s">
        <v>71</v>
      </c>
      <c r="K78" s="1">
        <f>+K61+K66</f>
        <v>8.7999999999999954</v>
      </c>
      <c r="L78" s="1">
        <f>+L61+L66</f>
        <v>-18.600000000000001</v>
      </c>
      <c r="M78" s="1">
        <f>+M61+M66</f>
        <v>32.200000000000003</v>
      </c>
      <c r="N78" s="1">
        <f>+N61+N66</f>
        <v>20.199999999999996</v>
      </c>
      <c r="O78" s="1">
        <f>+O61+O66</f>
        <v>9.1999999999999957</v>
      </c>
    </row>
    <row r="79" spans="2:15" x14ac:dyDescent="0.2">
      <c r="B79" s="1" t="s">
        <v>72</v>
      </c>
      <c r="K79" s="1">
        <f>+K61-K48+K66</f>
        <v>0.19999999999999574</v>
      </c>
      <c r="L79" s="1">
        <f>+L61-L48+L66</f>
        <v>-29.9</v>
      </c>
      <c r="M79" s="1">
        <f>+M61-M48+M66</f>
        <v>22.799999999999997</v>
      </c>
      <c r="N79" s="1">
        <f>+N61-N48+N66</f>
        <v>10.7</v>
      </c>
      <c r="O79" s="1">
        <f>+O61-O48+O66</f>
        <v>0.49999999999999645</v>
      </c>
    </row>
    <row r="81" spans="2:15" x14ac:dyDescent="0.2">
      <c r="B81" s="1" t="s">
        <v>53</v>
      </c>
      <c r="N81" s="1">
        <f>+SUM(K79:N79)</f>
        <v>3.7999999999999936</v>
      </c>
      <c r="O81" s="1">
        <f>+SUM(L79:O79)</f>
        <v>4.0999999999999943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2024-06-17T12:06:30Z</dcterms:created>
  <dcterms:modified xsi:type="dcterms:W3CDTF">2024-06-17T13:28:25Z</dcterms:modified>
</cp:coreProperties>
</file>