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Cybersecurities\"/>
    </mc:Choice>
  </mc:AlternateContent>
  <xr:revisionPtr revIDLastSave="0" documentId="13_ncr:1_{1E416318-A434-4C32-8129-3D91900D137A}" xr6:coauthVersionLast="47" xr6:coauthVersionMax="47" xr10:uidLastSave="{00000000-0000-0000-0000-000000000000}"/>
  <bookViews>
    <workbookView xWindow="-15795" yWindow="7155" windowWidth="14460" windowHeight="15375" firstSheet="1" activeTab="1" xr2:uid="{0FE44ECE-0258-4CFF-8C42-E1F9F3DD88F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2" l="1"/>
  <c r="R8" i="2"/>
  <c r="F5" i="2"/>
  <c r="F4" i="2"/>
  <c r="F3" i="2"/>
  <c r="J5" i="2"/>
  <c r="J4" i="2"/>
  <c r="J3" i="2"/>
  <c r="N5" i="2"/>
  <c r="N4" i="2"/>
  <c r="N3" i="2"/>
  <c r="N7" i="2"/>
  <c r="Q77" i="2"/>
  <c r="P84" i="2"/>
  <c r="Q84" i="2" s="1"/>
  <c r="P83" i="2"/>
  <c r="Q83" i="2" s="1"/>
  <c r="P82" i="2"/>
  <c r="Q82" i="2" s="1"/>
  <c r="P81" i="2"/>
  <c r="Q81" i="2" s="1"/>
  <c r="P78" i="2"/>
  <c r="Q78" i="2" s="1"/>
  <c r="P71" i="2"/>
  <c r="Q71" i="2" s="1"/>
  <c r="P72" i="2"/>
  <c r="Q72" i="2" s="1"/>
  <c r="P70" i="2"/>
  <c r="Q70" i="2" s="1"/>
  <c r="P69" i="2"/>
  <c r="Q69" i="2" s="1"/>
  <c r="P68" i="2"/>
  <c r="Q68" i="2" s="1"/>
  <c r="P67" i="2"/>
  <c r="Q67" i="2" s="1"/>
  <c r="P66" i="2"/>
  <c r="Q66" i="2" s="1"/>
  <c r="P65" i="2"/>
  <c r="Q65" i="2" s="1"/>
  <c r="P64" i="2"/>
  <c r="Q64" i="2" s="1"/>
  <c r="O85" i="2"/>
  <c r="O76" i="2"/>
  <c r="O79" i="2" s="1"/>
  <c r="O73" i="2"/>
  <c r="O74" i="2" s="1"/>
  <c r="O51" i="2"/>
  <c r="O56" i="2" s="1"/>
  <c r="O58" i="2" s="1"/>
  <c r="O44" i="2"/>
  <c r="O40" i="2"/>
  <c r="O39" i="2"/>
  <c r="O37" i="2"/>
  <c r="O36" i="2" s="1"/>
  <c r="P51" i="2"/>
  <c r="P56" i="2" s="1"/>
  <c r="P58" i="2" s="1"/>
  <c r="P44" i="2"/>
  <c r="P40" i="2"/>
  <c r="P39" i="2"/>
  <c r="P37" i="2"/>
  <c r="P36" i="2" s="1"/>
  <c r="I10" i="1"/>
  <c r="Q51" i="2"/>
  <c r="Q56" i="2" s="1"/>
  <c r="Q58" i="2" s="1"/>
  <c r="Q44" i="2"/>
  <c r="Q40" i="2"/>
  <c r="Q39" i="2"/>
  <c r="Q37" i="2"/>
  <c r="T18" i="2"/>
  <c r="T12" i="2"/>
  <c r="T34" i="2" s="1"/>
  <c r="U18" i="2"/>
  <c r="U12" i="2"/>
  <c r="V18" i="2"/>
  <c r="V12" i="2"/>
  <c r="W18" i="2"/>
  <c r="W12" i="2"/>
  <c r="X18" i="2"/>
  <c r="X12" i="2"/>
  <c r="Y18" i="2"/>
  <c r="Y12" i="2"/>
  <c r="Z18" i="2"/>
  <c r="Z12" i="2"/>
  <c r="F26" i="2"/>
  <c r="F23" i="2"/>
  <c r="F21" i="2"/>
  <c r="F20" i="2"/>
  <c r="F17" i="2"/>
  <c r="F16" i="2"/>
  <c r="F15" i="2"/>
  <c r="F13" i="2"/>
  <c r="F11" i="2"/>
  <c r="F10" i="2"/>
  <c r="J26" i="2"/>
  <c r="J23" i="2"/>
  <c r="J21" i="2"/>
  <c r="J20" i="2"/>
  <c r="J17" i="2"/>
  <c r="J16" i="2"/>
  <c r="J15" i="2"/>
  <c r="J13" i="2"/>
  <c r="J11" i="2"/>
  <c r="J10" i="2"/>
  <c r="C18" i="2"/>
  <c r="C12" i="2"/>
  <c r="C14" i="2" s="1"/>
  <c r="G18" i="2"/>
  <c r="G12" i="2"/>
  <c r="G28" i="2" s="1"/>
  <c r="D18" i="2"/>
  <c r="D12" i="2"/>
  <c r="D14" i="2" s="1"/>
  <c r="H18" i="2"/>
  <c r="H12" i="2"/>
  <c r="E18" i="2"/>
  <c r="E12" i="2"/>
  <c r="E14" i="2" s="1"/>
  <c r="I18" i="2"/>
  <c r="I12" i="2"/>
  <c r="I14" i="2" s="1"/>
  <c r="N26" i="2"/>
  <c r="N23" i="2"/>
  <c r="N21" i="2"/>
  <c r="N20" i="2"/>
  <c r="N17" i="2"/>
  <c r="N16" i="2"/>
  <c r="N15" i="2"/>
  <c r="N13" i="2"/>
  <c r="N11" i="2"/>
  <c r="N10" i="2"/>
  <c r="AA18" i="2"/>
  <c r="AA12" i="2"/>
  <c r="AA28" i="2" s="1"/>
  <c r="AB18" i="2"/>
  <c r="AB12" i="2"/>
  <c r="AB28" i="2" s="1"/>
  <c r="AC18" i="2"/>
  <c r="AC12" i="2"/>
  <c r="AC28" i="2" s="1"/>
  <c r="K18" i="2"/>
  <c r="K12" i="2"/>
  <c r="K34" i="2" s="1"/>
  <c r="O18" i="2"/>
  <c r="O12" i="2"/>
  <c r="O34" i="2" s="1"/>
  <c r="L18" i="2"/>
  <c r="L12" i="2"/>
  <c r="L28" i="2" s="1"/>
  <c r="P18" i="2"/>
  <c r="P12" i="2"/>
  <c r="P28" i="2" s="1"/>
  <c r="M18" i="2"/>
  <c r="M12" i="2"/>
  <c r="M14" i="2" s="1"/>
  <c r="Q18" i="2"/>
  <c r="Q12" i="2"/>
  <c r="Q28" i="2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I8" i="1"/>
  <c r="I6" i="1"/>
  <c r="I5" i="1"/>
  <c r="O7" i="2" l="1"/>
  <c r="P7" i="2"/>
  <c r="N18" i="2"/>
  <c r="P85" i="2"/>
  <c r="M28" i="2"/>
  <c r="Q85" i="2"/>
  <c r="Q34" i="2"/>
  <c r="F12" i="2"/>
  <c r="F28" i="2" s="1"/>
  <c r="Q47" i="2"/>
  <c r="O47" i="2"/>
  <c r="N12" i="2"/>
  <c r="N28" i="2" s="1"/>
  <c r="F18" i="2"/>
  <c r="P47" i="2"/>
  <c r="P73" i="2"/>
  <c r="P76" i="2"/>
  <c r="O88" i="2"/>
  <c r="O86" i="2"/>
  <c r="Q36" i="2"/>
  <c r="K28" i="2"/>
  <c r="O28" i="2"/>
  <c r="J18" i="2"/>
  <c r="AD12" i="2"/>
  <c r="AD34" i="2" s="1"/>
  <c r="Q14" i="2"/>
  <c r="J12" i="2"/>
  <c r="J28" i="2" s="1"/>
  <c r="T14" i="2"/>
  <c r="T28" i="2"/>
  <c r="U34" i="2"/>
  <c r="V34" i="2"/>
  <c r="U14" i="2"/>
  <c r="U29" i="2" s="1"/>
  <c r="U28" i="2"/>
  <c r="V14" i="2"/>
  <c r="V29" i="2" s="1"/>
  <c r="V28" i="2"/>
  <c r="W34" i="2"/>
  <c r="W14" i="2"/>
  <c r="W29" i="2" s="1"/>
  <c r="W28" i="2"/>
  <c r="X34" i="2"/>
  <c r="X14" i="2"/>
  <c r="X29" i="2" s="1"/>
  <c r="X28" i="2"/>
  <c r="Y34" i="2"/>
  <c r="Y14" i="2"/>
  <c r="Y19" i="2" s="1"/>
  <c r="Y30" i="2" s="1"/>
  <c r="Y28" i="2"/>
  <c r="Z34" i="2"/>
  <c r="AA34" i="2"/>
  <c r="Z14" i="2"/>
  <c r="Z28" i="2"/>
  <c r="C29" i="2"/>
  <c r="C19" i="2"/>
  <c r="C28" i="2"/>
  <c r="G34" i="2"/>
  <c r="G14" i="2"/>
  <c r="G19" i="2" s="1"/>
  <c r="G30" i="2" s="1"/>
  <c r="D19" i="2"/>
  <c r="D29" i="2"/>
  <c r="D28" i="2"/>
  <c r="H34" i="2"/>
  <c r="H14" i="2"/>
  <c r="H19" i="2" s="1"/>
  <c r="H30" i="2" s="1"/>
  <c r="L34" i="2"/>
  <c r="H28" i="2"/>
  <c r="E19" i="2"/>
  <c r="E29" i="2"/>
  <c r="E28" i="2"/>
  <c r="I29" i="2"/>
  <c r="I19" i="2"/>
  <c r="M34" i="2"/>
  <c r="I28" i="2"/>
  <c r="I34" i="2"/>
  <c r="AA14" i="2"/>
  <c r="AB34" i="2"/>
  <c r="AB14" i="2"/>
  <c r="AC34" i="2"/>
  <c r="AC14" i="2"/>
  <c r="K14" i="2"/>
  <c r="O14" i="2"/>
  <c r="P34" i="2"/>
  <c r="L14" i="2"/>
  <c r="P14" i="2"/>
  <c r="M19" i="2"/>
  <c r="M29" i="2"/>
  <c r="N34" i="2" l="1"/>
  <c r="R34" i="2"/>
  <c r="N14" i="2"/>
  <c r="N29" i="2" s="1"/>
  <c r="P79" i="2"/>
  <c r="Q76" i="2"/>
  <c r="Q79" i="2" s="1"/>
  <c r="P74" i="2"/>
  <c r="Q73" i="2"/>
  <c r="Q74" i="2" s="1"/>
  <c r="N19" i="2"/>
  <c r="F14" i="2"/>
  <c r="F29" i="2" s="1"/>
  <c r="W19" i="2"/>
  <c r="W30" i="2" s="1"/>
  <c r="N22" i="2"/>
  <c r="N30" i="2"/>
  <c r="J14" i="2"/>
  <c r="J29" i="2" s="1"/>
  <c r="J34" i="2"/>
  <c r="H29" i="2"/>
  <c r="Q29" i="2"/>
  <c r="Q19" i="2"/>
  <c r="T29" i="2"/>
  <c r="T19" i="2"/>
  <c r="U19" i="2"/>
  <c r="U22" i="2" s="1"/>
  <c r="V19" i="2"/>
  <c r="V30" i="2" s="1"/>
  <c r="X19" i="2"/>
  <c r="X30" i="2" s="1"/>
  <c r="Y29" i="2"/>
  <c r="Y22" i="2"/>
  <c r="Y32" i="2" s="1"/>
  <c r="Z29" i="2"/>
  <c r="Z19" i="2"/>
  <c r="C30" i="2"/>
  <c r="C22" i="2"/>
  <c r="G29" i="2"/>
  <c r="G22" i="2"/>
  <c r="G32" i="2" s="1"/>
  <c r="D30" i="2"/>
  <c r="D22" i="2"/>
  <c r="H22" i="2"/>
  <c r="H24" i="2" s="1"/>
  <c r="E22" i="2"/>
  <c r="E30" i="2"/>
  <c r="I30" i="2"/>
  <c r="I22" i="2"/>
  <c r="AA19" i="2"/>
  <c r="AA29" i="2"/>
  <c r="AB19" i="2"/>
  <c r="AB29" i="2"/>
  <c r="AC19" i="2"/>
  <c r="AC29" i="2"/>
  <c r="K29" i="2"/>
  <c r="K19" i="2"/>
  <c r="O19" i="2"/>
  <c r="O29" i="2"/>
  <c r="L29" i="2"/>
  <c r="L19" i="2"/>
  <c r="P29" i="2"/>
  <c r="P19" i="2"/>
  <c r="M22" i="2"/>
  <c r="M30" i="2"/>
  <c r="W22" i="2" l="1"/>
  <c r="W24" i="2" s="1"/>
  <c r="Q88" i="2"/>
  <c r="Q86" i="2"/>
  <c r="J19" i="2"/>
  <c r="F19" i="2"/>
  <c r="P88" i="2"/>
  <c r="P86" i="2"/>
  <c r="F30" i="2"/>
  <c r="F22" i="2"/>
  <c r="X22" i="2"/>
  <c r="X32" i="2" s="1"/>
  <c r="J30" i="2"/>
  <c r="J22" i="2"/>
  <c r="Q22" i="2"/>
  <c r="Q30" i="2"/>
  <c r="N24" i="2"/>
  <c r="N32" i="2"/>
  <c r="T30" i="2"/>
  <c r="T22" i="2"/>
  <c r="U30" i="2"/>
  <c r="U32" i="2"/>
  <c r="U24" i="2"/>
  <c r="V22" i="2"/>
  <c r="V32" i="2" s="1"/>
  <c r="Y24" i="2"/>
  <c r="Y31" i="2" s="1"/>
  <c r="Z30" i="2"/>
  <c r="Z22" i="2"/>
  <c r="C32" i="2"/>
  <c r="C24" i="2"/>
  <c r="G24" i="2"/>
  <c r="G25" i="2" s="1"/>
  <c r="D32" i="2"/>
  <c r="D24" i="2"/>
  <c r="H32" i="2"/>
  <c r="H31" i="2"/>
  <c r="H25" i="2"/>
  <c r="E32" i="2"/>
  <c r="E24" i="2"/>
  <c r="I32" i="2"/>
  <c r="I24" i="2"/>
  <c r="AA30" i="2"/>
  <c r="AA22" i="2"/>
  <c r="AB22" i="2"/>
  <c r="AB30" i="2"/>
  <c r="AC30" i="2"/>
  <c r="AC22" i="2"/>
  <c r="K30" i="2"/>
  <c r="K22" i="2"/>
  <c r="O22" i="2"/>
  <c r="O30" i="2"/>
  <c r="L30" i="2"/>
  <c r="L22" i="2"/>
  <c r="P30" i="2"/>
  <c r="P22" i="2"/>
  <c r="M32" i="2"/>
  <c r="M24" i="2"/>
  <c r="W32" i="2" l="1"/>
  <c r="X24" i="2"/>
  <c r="X31" i="2" s="1"/>
  <c r="Q24" i="2"/>
  <c r="Q63" i="2" s="1"/>
  <c r="Q32" i="2"/>
  <c r="J24" i="2"/>
  <c r="J32" i="2"/>
  <c r="N31" i="2"/>
  <c r="N25" i="2"/>
  <c r="G31" i="2"/>
  <c r="F32" i="2"/>
  <c r="F24" i="2"/>
  <c r="T32" i="2"/>
  <c r="T24" i="2"/>
  <c r="U31" i="2"/>
  <c r="U25" i="2"/>
  <c r="V24" i="2"/>
  <c r="V31" i="2" s="1"/>
  <c r="W31" i="2"/>
  <c r="W25" i="2"/>
  <c r="Y25" i="2"/>
  <c r="Z32" i="2"/>
  <c r="Z24" i="2"/>
  <c r="C25" i="2"/>
  <c r="C31" i="2"/>
  <c r="D31" i="2"/>
  <c r="D25" i="2"/>
  <c r="E31" i="2"/>
  <c r="E25" i="2"/>
  <c r="I31" i="2"/>
  <c r="I25" i="2"/>
  <c r="AA32" i="2"/>
  <c r="AA24" i="2"/>
  <c r="AB32" i="2"/>
  <c r="AB24" i="2"/>
  <c r="AC32" i="2"/>
  <c r="AC24" i="2"/>
  <c r="K32" i="2"/>
  <c r="K24" i="2"/>
  <c r="O32" i="2"/>
  <c r="O24" i="2"/>
  <c r="O63" i="2" s="1"/>
  <c r="L24" i="2"/>
  <c r="L32" i="2"/>
  <c r="P32" i="2"/>
  <c r="P24" i="2"/>
  <c r="P63" i="2" s="1"/>
  <c r="M31" i="2"/>
  <c r="M25" i="2"/>
  <c r="X25" i="2" l="1"/>
  <c r="O60" i="2"/>
  <c r="O61" i="2" s="1"/>
  <c r="Q31" i="2"/>
  <c r="Q25" i="2"/>
  <c r="F25" i="2"/>
  <c r="F31" i="2"/>
  <c r="P60" i="2"/>
  <c r="P61" i="2" s="1"/>
  <c r="Q60" i="2"/>
  <c r="Q61" i="2" s="1"/>
  <c r="J25" i="2"/>
  <c r="J31" i="2"/>
  <c r="T31" i="2"/>
  <c r="T25" i="2"/>
  <c r="V25" i="2"/>
  <c r="Z25" i="2"/>
  <c r="Z31" i="2"/>
  <c r="AA31" i="2"/>
  <c r="AA25" i="2"/>
  <c r="AB31" i="2"/>
  <c r="AB25" i="2"/>
  <c r="AC31" i="2"/>
  <c r="AC25" i="2"/>
  <c r="K31" i="2"/>
  <c r="K25" i="2"/>
  <c r="O31" i="2"/>
  <c r="O25" i="2"/>
  <c r="L25" i="2"/>
  <c r="L31" i="2"/>
  <c r="P31" i="2"/>
  <c r="P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Hesselberth</author>
  </authors>
  <commentList>
    <comment ref="R12" authorId="0" shapeId="0" xr:uid="{F6B6A18F-23B0-48BF-B08D-909BC8345C93}">
      <text>
        <r>
          <rPr>
            <b/>
            <sz val="9"/>
            <color indexed="81"/>
            <rFont val="Tahoma"/>
            <charset val="1"/>
          </rPr>
          <t>Dennis Hesselberth:</t>
        </r>
        <r>
          <rPr>
            <sz val="9"/>
            <color indexed="81"/>
            <rFont val="Tahoma"/>
            <charset val="1"/>
          </rPr>
          <t xml:space="preserve">
Outlook
$2.15 - $2.17</t>
        </r>
      </text>
    </comment>
  </commentList>
</comments>
</file>

<file path=xl/sharedStrings.xml><?xml version="1.0" encoding="utf-8"?>
<sst xmlns="http://schemas.openxmlformats.org/spreadsheetml/2006/main" count="104" uniqueCount="91">
  <si>
    <t>Price</t>
  </si>
  <si>
    <t>Shares</t>
  </si>
  <si>
    <t>MC</t>
  </si>
  <si>
    <t>Cash</t>
  </si>
  <si>
    <t>Debt</t>
  </si>
  <si>
    <t>EV</t>
  </si>
  <si>
    <t>Q324</t>
  </si>
  <si>
    <t>Revenue</t>
  </si>
  <si>
    <t>Product</t>
  </si>
  <si>
    <t>Subscription and support</t>
  </si>
  <si>
    <t>COGS</t>
  </si>
  <si>
    <t>Gross profit</t>
  </si>
  <si>
    <t>R&amp;D</t>
  </si>
  <si>
    <t>S&amp;M</t>
  </si>
  <si>
    <t>G&amp;A</t>
  </si>
  <si>
    <t>Operating expense</t>
  </si>
  <si>
    <t>Operating income</t>
  </si>
  <si>
    <t>Interest expense</t>
  </si>
  <si>
    <t>Other income</t>
  </si>
  <si>
    <t>Pretax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</si>
  <si>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</si>
  <si>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</si>
  <si>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</si>
  <si>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</si>
  <si>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</si>
  <si>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</si>
  <si>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</si>
  <si>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</si>
  <si>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R&amp;D margin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</si>
  <si>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</si>
  <si>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</si>
  <si>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</si>
  <si>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</si>
  <si>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</si>
  <si>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</si>
  <si>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</si>
  <si>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</si>
  <si>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</si>
  <si>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</si>
  <si>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</si>
  <si>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</si>
  <si>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</si>
  <si>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</si>
  <si>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</si>
  <si>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Net cash</t>
  </si>
  <si>
    <t>A/R</t>
  </si>
  <si>
    <t>F/R</t>
  </si>
  <si>
    <t>DCC</t>
  </si>
  <si>
    <t>Prepaid</t>
  </si>
  <si>
    <t>PP&amp;E</t>
  </si>
  <si>
    <t>Lease</t>
  </si>
  <si>
    <t>Goodwill</t>
  </si>
  <si>
    <t>DT</t>
  </si>
  <si>
    <t>Other</t>
  </si>
  <si>
    <t>Assets</t>
  </si>
  <si>
    <t>A/P</t>
  </si>
  <si>
    <t>Accrued compensation</t>
  </si>
  <si>
    <t>Accrued &amp; other</t>
  </si>
  <si>
    <t>DR</t>
  </si>
  <si>
    <t>Liabilties</t>
  </si>
  <si>
    <t>S/E</t>
  </si>
  <si>
    <t>L+S/E</t>
  </si>
  <si>
    <t>Cash flow TTM</t>
  </si>
  <si>
    <t>ROIC</t>
  </si>
  <si>
    <t>Total billings</t>
  </si>
  <si>
    <t>Model NI</t>
  </si>
  <si>
    <t>Reported NI</t>
  </si>
  <si>
    <t>SBC</t>
  </si>
  <si>
    <t>D&amp;A</t>
  </si>
  <si>
    <t>Amor DCC</t>
  </si>
  <si>
    <t>Amor DIC</t>
  </si>
  <si>
    <t>Amor investments</t>
  </si>
  <si>
    <t>Working capital</t>
  </si>
  <si>
    <t>CFFO</t>
  </si>
  <si>
    <t>Investements</t>
  </si>
  <si>
    <t>CapEx</t>
  </si>
  <si>
    <t>CFFI</t>
  </si>
  <si>
    <t>Repayment debt</t>
  </si>
  <si>
    <t>Buybacks</t>
  </si>
  <si>
    <t>ESOP</t>
  </si>
  <si>
    <t>SBC taxes</t>
  </si>
  <si>
    <t>CFFF</t>
  </si>
  <si>
    <t>CIC</t>
  </si>
  <si>
    <t>CFFO+CapEx-SBC</t>
  </si>
  <si>
    <t>FCF TTM</t>
  </si>
  <si>
    <t>Acquisitions</t>
  </si>
  <si>
    <t>Billings</t>
  </si>
  <si>
    <t>Billings y/y</t>
  </si>
  <si>
    <t>Americas</t>
  </si>
  <si>
    <t>EMEA</t>
  </si>
  <si>
    <t>APAC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</si>
</sst>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\x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3" fontId="0" fillId="0" borderId="0" xfId="0" applyNumberFormat="1" applyAlignment="1">
      <alignment horizontal="right"/>
    </xf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0</xdr:row>
      <xdr:rowOff>28575</xdr:rowOff>
    </xdr:from>
    <xdr:to>
      <xdr:col>17</xdr:col>
      <xdr:colOff>9525</xdr:colOff>
      <xdr:row>63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7C61D06-5530-F9B9-DE18-414447A1AE17}"/>
            </a:ext>
          </a:extLst>
        </xdr:cNvPr>
        <xdr:cNvCxnSpPr/>
      </xdr:nvCxnSpPr>
      <xdr:spPr>
        <a:xfrm>
          <a:off x="11791950" y="28575"/>
          <a:ext cx="0" cy="9163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19050</xdr:colOff>
      <xdr:row>0</xdr:row>
      <xdr:rowOff>19050</xdr:rowOff>
    </xdr:from>
    <xdr:to>
      <xdr:col>29</xdr:col>
      <xdr:colOff>19050</xdr:colOff>
      <xdr:row>45</xdr:row>
      <xdr:rowOff>104775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833DC91-1B53-4423-9B02-995A1306DB06}"/>
            </a:ext>
          </a:extLst>
        </xdr:cNvPr>
        <xdr:cNvCxnSpPr/>
      </xdr:nvCxnSpPr>
      <xdr:spPr>
        <a:xfrm>
          <a:off x="18116550" y="19050"/>
          <a:ext cx="0" cy="6238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A6E2-4753-44E8-8CBC-55FBF1C39C3F}">
  <dimension ref="C3:J10"/>
  <sheetViews>
    <sheetView workbookViewId="0">
      <selection activeCell="C4" sqref="C4"/>
    </sheetView>
  </sheetViews>
  <sheetFormatPr defaultRowHeight="12.75" x14ac:dyDescent="0.2"/>
  <cols>
    <col min="1" max="1" width="2.5703125" customWidth="1"/>
    <col min="3" max="3" width="11.28515625" bestFit="1" customWidth="1"/>
  </cols>
  <sheetData>
    <row r="3" spans="3:10" x14ac:dyDescent="0.2">
      <c r="D3" s="2" t="s">
        <v>43</v>
      </c>
      <c r="H3" t="s">
        <v>0</v>
      </c>
      <c r="I3">
        <v>337</v>
      </c>
    </row>
    <row r="4" spans="3:10" x14ac:dyDescent="0.2">
      <c r="C4" t="s">
        <v>64</v>
      </c>
      <c r="D4">
        <v>3480</v>
      </c>
      <c r="H4" t="s">
        <v>1</v>
      </c>
      <c r="I4" s="1">
        <v>323.8</v>
      </c>
      <c r="J4" s="2" t="s">
        <v>6</v>
      </c>
    </row>
    <row r="5" spans="3:10" x14ac:dyDescent="0.2">
      <c r="H5" t="s">
        <v>2</v>
      </c>
      <c r="I5" s="1">
        <f>+I3*I4</f>
        <v>109120.6</v>
      </c>
      <c r="J5" s="2"/>
    </row>
    <row r="6" spans="3:10" x14ac:dyDescent="0.2">
      <c r="H6" t="s">
        <v>3</v>
      </c>
      <c r="I6" s="1">
        <f>1373.7+1516.7+3504.4</f>
        <v>6394.8</v>
      </c>
      <c r="J6" s="2" t="s">
        <v>6</v>
      </c>
    </row>
    <row r="7" spans="3:10" x14ac:dyDescent="0.2">
      <c r="H7" t="s">
        <v>4</v>
      </c>
      <c r="I7" s="1">
        <v>1162.5</v>
      </c>
      <c r="J7" s="2" t="s">
        <v>6</v>
      </c>
    </row>
    <row r="8" spans="3:10" x14ac:dyDescent="0.2">
      <c r="H8" t="s">
        <v>5</v>
      </c>
      <c r="I8" s="1">
        <f>+I5-I6+I7</f>
        <v>103888.3</v>
      </c>
    </row>
    <row r="9" spans="3:10" x14ac:dyDescent="0.2">
      <c r="I9">
        <v>2448</v>
      </c>
    </row>
    <row r="10" spans="3:10" x14ac:dyDescent="0.2">
      <c r="I10" s="10">
        <f>+I8/I9</f>
        <v>42.438031045751636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C55CA-9B2C-49CE-9537-71CAADE8FF11}">
  <dimension ref="A1:AS97"/>
  <sheetViews>
    <sheetView tabSelected="1" workbookViewId="0">
      <pane xSplit="2" ySplit="2" topLeftCell="J51" activePane="bottomRight" state="frozen"/>
      <selection pane="topRight" activeCell="C1" sqref="C1"/>
      <selection pane="bottomLeft" activeCell="A3" sqref="A3"/>
      <selection pane="bottomRight" activeCell="R65" sqref="R65"/>
    </sheetView>
  </sheetViews>
  <sheetFormatPr defaultRowHeight="12.75" x14ac:dyDescent="0.2"/>
  <cols>
    <col min="1" max="1" width="2.5703125" customWidth="1"/>
    <col min="2" max="2" width="22" bestFit="1" customWidth="1"/>
    <col min="3" max="17" width="10.140625" style="1" bestFit="1" customWidth="1"/>
    <col min="18" max="16384" width="9.140625" style="1"/>
  </cols>
  <sheetData>
    <row r="1" spans="1:45" s="9" customFormat="1" x14ac:dyDescent="0.2">
      <c r="C1" s="9">
        <v>44135</v>
      </c>
      <c r="D1" s="9">
        <v>44227</v>
      </c>
      <c r="E1" s="9">
        <v>44316</v>
      </c>
      <c r="F1" s="9">
        <v>44408</v>
      </c>
      <c r="G1" s="9">
        <v>44500</v>
      </c>
      <c r="H1" s="9">
        <v>44592</v>
      </c>
      <c r="I1" s="9">
        <v>44681</v>
      </c>
      <c r="J1" s="9">
        <v>44773</v>
      </c>
      <c r="K1" s="9">
        <v>44865</v>
      </c>
      <c r="L1" s="9">
        <v>44957</v>
      </c>
      <c r="M1" s="9">
        <v>45046</v>
      </c>
      <c r="N1" s="9">
        <v>45138</v>
      </c>
      <c r="O1" s="9">
        <v>45230</v>
      </c>
      <c r="P1" s="9">
        <v>45322</v>
      </c>
      <c r="Q1" s="9">
        <v>45412</v>
      </c>
    </row>
    <row r="2" spans="1:45" x14ac:dyDescent="0.2">
      <c r="C2" s="7" t="s">
        <v>29</v>
      </c>
      <c r="D2" s="7" t="s">
        <v>30</v>
      </c>
      <c r="E2" s="7" t="s">
        <v>31</v>
      </c>
      <c r="F2" s="7" t="s">
        <v>32</v>
      </c>
      <c r="G2" s="7" t="s">
        <v>33</v>
      </c>
      <c r="H2" s="7" t="s">
        <v>34</v>
      </c>
      <c r="I2" s="7" t="s">
        <v>35</v>
      </c>
      <c r="J2" s="7" t="s">
        <v>36</v>
      </c>
      <c r="K2" s="7" t="s">
        <v>37</v>
      </c>
      <c r="L2" s="7" t="s">
        <v>38</v>
      </c>
      <c r="M2" s="7" t="s">
        <v>39</v>
      </c>
      <c r="N2" s="7" t="s">
        <v>40</v>
      </c>
      <c r="O2" s="7" t="s">
        <v>41</v>
      </c>
      <c r="P2" s="7" t="s">
        <v>42</v>
      </c>
      <c r="Q2" s="7" t="s">
        <v>6</v>
      </c>
      <c r="R2" s="7" t="s">
        <v>43</v>
      </c>
      <c r="T2">
        <v>2014</v>
      </c>
      <c r="U2">
        <f>+T2+1</f>
        <v>2015</v>
      </c>
      <c r="V2">
        <f t="shared" ref="V2:AS2" si="0">+U2+1</f>
        <v>2016</v>
      </c>
      <c r="W2">
        <f t="shared" si="0"/>
        <v>2017</v>
      </c>
      <c r="X2">
        <f t="shared" si="0"/>
        <v>2018</v>
      </c>
      <c r="Y2">
        <f t="shared" si="0"/>
        <v>2019</v>
      </c>
      <c r="Z2">
        <f t="shared" si="0"/>
        <v>2020</v>
      </c>
      <c r="AA2">
        <f t="shared" si="0"/>
        <v>2021</v>
      </c>
      <c r="AB2">
        <f t="shared" si="0"/>
        <v>2022</v>
      </c>
      <c r="AC2">
        <f t="shared" si="0"/>
        <v>2023</v>
      </c>
      <c r="AD2">
        <f t="shared" si="0"/>
        <v>2024</v>
      </c>
      <c r="AE2">
        <f t="shared" si="0"/>
        <v>2025</v>
      </c>
      <c r="AF2">
        <f t="shared" si="0"/>
        <v>2026</v>
      </c>
      <c r="AG2">
        <f t="shared" si="0"/>
        <v>2027</v>
      </c>
      <c r="AH2">
        <f t="shared" si="0"/>
        <v>2028</v>
      </c>
      <c r="AI2">
        <f t="shared" si="0"/>
        <v>2029</v>
      </c>
      <c r="AJ2">
        <f t="shared" si="0"/>
        <v>2030</v>
      </c>
      <c r="AK2">
        <f t="shared" si="0"/>
        <v>2031</v>
      </c>
      <c r="AL2">
        <f t="shared" si="0"/>
        <v>2032</v>
      </c>
      <c r="AM2">
        <f t="shared" si="0"/>
        <v>2033</v>
      </c>
      <c r="AN2">
        <f t="shared" si="0"/>
        <v>2034</v>
      </c>
      <c r="AO2">
        <f t="shared" si="0"/>
        <v>2035</v>
      </c>
      <c r="AP2">
        <f t="shared" si="0"/>
        <v>2036</v>
      </c>
      <c r="AQ2">
        <f t="shared" si="0"/>
        <v>2037</v>
      </c>
      <c r="AR2">
        <f t="shared" si="0"/>
        <v>2038</v>
      </c>
      <c r="AS2">
        <f t="shared" si="0"/>
        <v>2039</v>
      </c>
    </row>
    <row r="3" spans="1:45" x14ac:dyDescent="0.2">
      <c r="B3" t="s">
        <v>88</v>
      </c>
      <c r="C3" s="7">
        <v>666.5</v>
      </c>
      <c r="D3" s="7">
        <v>689.8</v>
      </c>
      <c r="E3" s="7">
        <v>732.4</v>
      </c>
      <c r="F3" s="7">
        <f>2937.5-SUM(C3:E3)</f>
        <v>848.80000000000018</v>
      </c>
      <c r="G3" s="7">
        <v>866.7</v>
      </c>
      <c r="H3" s="7">
        <v>915.9</v>
      </c>
      <c r="I3" s="7">
        <v>948.7</v>
      </c>
      <c r="J3" s="7">
        <f>3802.6-SUM(G3:I3)</f>
        <v>1071.2999999999997</v>
      </c>
      <c r="K3" s="7">
        <v>1070.7</v>
      </c>
      <c r="L3" s="7">
        <v>1117</v>
      </c>
      <c r="M3" s="7">
        <v>1179.2</v>
      </c>
      <c r="N3" s="7">
        <f>4719.9-SUM(K3:M3)</f>
        <v>1353</v>
      </c>
      <c r="O3" s="7">
        <v>1286.5999999999999</v>
      </c>
      <c r="P3" s="7">
        <v>1334.2</v>
      </c>
      <c r="Q3" s="7">
        <v>1359.6</v>
      </c>
      <c r="R3" s="7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1:45" x14ac:dyDescent="0.2">
      <c r="B4" t="s">
        <v>89</v>
      </c>
      <c r="C4" s="7">
        <v>173.4</v>
      </c>
      <c r="D4" s="7">
        <v>206.2</v>
      </c>
      <c r="E4" s="7">
        <v>211</v>
      </c>
      <c r="F4" s="7">
        <f>817.3-SUM(C4:E4)</f>
        <v>226.69999999999993</v>
      </c>
      <c r="G4" s="7">
        <v>233.8</v>
      </c>
      <c r="H4" s="7">
        <v>252.2</v>
      </c>
      <c r="I4" s="7">
        <v>269.5</v>
      </c>
      <c r="J4" s="7">
        <f>1055.8-SUM(G4:I4)</f>
        <v>300.29999999999995</v>
      </c>
      <c r="K4" s="7">
        <v>307.89999999999998</v>
      </c>
      <c r="L4" s="7">
        <v>341.5</v>
      </c>
      <c r="M4" s="7">
        <v>332.1</v>
      </c>
      <c r="N4" s="7">
        <f>1359.6-SUM(K4:M4)</f>
        <v>378.09999999999991</v>
      </c>
      <c r="O4" s="7">
        <v>364.9</v>
      </c>
      <c r="P4" s="7">
        <v>406.8</v>
      </c>
      <c r="Q4" s="7">
        <v>399.2</v>
      </c>
      <c r="R4" s="7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1:45" x14ac:dyDescent="0.2">
      <c r="B5" t="s">
        <v>90</v>
      </c>
      <c r="C5" s="7">
        <v>106.1</v>
      </c>
      <c r="D5" s="7">
        <v>120.9</v>
      </c>
      <c r="E5" s="7">
        <v>130.5</v>
      </c>
      <c r="F5" s="7">
        <f>501.3-SUM(C5:E5)</f>
        <v>143.80000000000001</v>
      </c>
      <c r="G5" s="7">
        <v>146.9</v>
      </c>
      <c r="H5" s="7">
        <v>148.80000000000001</v>
      </c>
      <c r="I5" s="7">
        <v>168.5</v>
      </c>
      <c r="J5" s="7">
        <f>643.1-SUM(G5:I5)</f>
        <v>178.89999999999998</v>
      </c>
      <c r="K5" s="7">
        <v>184.8</v>
      </c>
      <c r="L5" s="7">
        <v>196.6</v>
      </c>
      <c r="M5" s="7">
        <v>209.6</v>
      </c>
      <c r="N5" s="7">
        <f>813.2-SUM(K5:M5)</f>
        <v>222.20000000000005</v>
      </c>
      <c r="O5" s="7">
        <v>226.6</v>
      </c>
      <c r="P5" s="7">
        <v>234.1</v>
      </c>
      <c r="Q5" s="7">
        <v>226</v>
      </c>
      <c r="R5" s="7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45" x14ac:dyDescent="0.2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45" x14ac:dyDescent="0.2">
      <c r="B7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>
        <f>+R7*0.91</f>
        <v>3166.8</v>
      </c>
      <c r="O7" s="7">
        <f t="shared" ref="O7:P7" si="1">+O12+O72</f>
        <v>2024.5</v>
      </c>
      <c r="P7" s="7">
        <f t="shared" si="1"/>
        <v>2347.2000000000003</v>
      </c>
      <c r="Q7" s="7">
        <f>+Q12+Q72</f>
        <v>2334</v>
      </c>
      <c r="R7" s="7">
        <v>3480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45" s="5" customFormat="1" x14ac:dyDescent="0.2">
      <c r="B8" s="5" t="s">
        <v>87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>
        <f>+R7/N7-1</f>
        <v>9.8901098901098772E-2</v>
      </c>
    </row>
    <row r="9" spans="1:45" x14ac:dyDescent="0.2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x14ac:dyDescent="0.2">
      <c r="B10" t="s">
        <v>8</v>
      </c>
      <c r="C10" s="1">
        <v>237.3</v>
      </c>
      <c r="D10" s="1">
        <v>254.7</v>
      </c>
      <c r="E10" s="1">
        <v>288.89999999999998</v>
      </c>
      <c r="F10" s="1">
        <f>+AA10-SUM(C10:E10)</f>
        <v>339.4</v>
      </c>
      <c r="G10" s="1">
        <v>295.5</v>
      </c>
      <c r="H10" s="1">
        <v>308</v>
      </c>
      <c r="I10" s="1">
        <v>351.5</v>
      </c>
      <c r="J10" s="1">
        <f>+AB10-SUM(G10:I10)</f>
        <v>408.09999999999991</v>
      </c>
      <c r="K10" s="1">
        <v>330</v>
      </c>
      <c r="L10" s="1">
        <v>352.9</v>
      </c>
      <c r="M10" s="1">
        <v>388.1</v>
      </c>
      <c r="N10" s="1">
        <f>+AC10-SUM(K10:M10)</f>
        <v>507.40000000000009</v>
      </c>
      <c r="O10" s="1">
        <v>341.1</v>
      </c>
      <c r="P10" s="1">
        <v>390.7</v>
      </c>
      <c r="Q10" s="1">
        <v>391</v>
      </c>
      <c r="T10" s="1">
        <v>340.1</v>
      </c>
      <c r="U10" s="1">
        <v>492.7</v>
      </c>
      <c r="V10" s="1">
        <v>670.8</v>
      </c>
      <c r="W10" s="1">
        <v>709.1</v>
      </c>
      <c r="X10" s="1">
        <v>879.8</v>
      </c>
      <c r="Y10" s="1">
        <v>1096.2</v>
      </c>
      <c r="Z10" s="1">
        <v>1064.2</v>
      </c>
      <c r="AA10" s="1">
        <v>1120.3</v>
      </c>
      <c r="AB10" s="1">
        <v>1363.1</v>
      </c>
      <c r="AC10" s="1">
        <v>1578.4</v>
      </c>
    </row>
    <row r="11" spans="1:45" x14ac:dyDescent="0.2">
      <c r="B11" t="s">
        <v>9</v>
      </c>
      <c r="C11" s="1">
        <v>708.7</v>
      </c>
      <c r="D11" s="1">
        <v>762.2</v>
      </c>
      <c r="E11" s="1">
        <v>785</v>
      </c>
      <c r="F11" s="1">
        <f>+AA11-SUM(C11:E11)</f>
        <v>879.90000000000009</v>
      </c>
      <c r="G11" s="1">
        <v>951.9</v>
      </c>
      <c r="H11" s="1">
        <v>1008.9</v>
      </c>
      <c r="I11" s="1">
        <v>1035.2</v>
      </c>
      <c r="J11" s="1">
        <f>+AB11-SUM(G11:I11)</f>
        <v>1142.3999999999996</v>
      </c>
      <c r="K11" s="1">
        <v>1233.4000000000001</v>
      </c>
      <c r="L11" s="1">
        <v>1302.2</v>
      </c>
      <c r="M11" s="1">
        <v>1332.8</v>
      </c>
      <c r="N11" s="1">
        <f>+AC11-SUM(K11:M11)</f>
        <v>1445.8999999999996</v>
      </c>
      <c r="O11" s="1">
        <v>1537</v>
      </c>
      <c r="P11" s="1">
        <v>1584.4</v>
      </c>
      <c r="Q11" s="1">
        <v>1593.8</v>
      </c>
      <c r="T11" s="1">
        <v>258.10000000000002</v>
      </c>
      <c r="U11" s="1">
        <v>435.4</v>
      </c>
      <c r="V11" s="1">
        <v>707.7</v>
      </c>
      <c r="W11" s="1">
        <v>1052.5</v>
      </c>
      <c r="X11" s="1">
        <v>1393.8</v>
      </c>
      <c r="Y11" s="1">
        <v>1803.4</v>
      </c>
      <c r="Z11" s="1">
        <v>2344.1999999999998</v>
      </c>
      <c r="AA11" s="1">
        <v>3135.8</v>
      </c>
      <c r="AB11" s="1">
        <v>4138.3999999999996</v>
      </c>
      <c r="AC11" s="1">
        <v>5314.3</v>
      </c>
    </row>
    <row r="12" spans="1:45" s="4" customFormat="1" x14ac:dyDescent="0.2">
      <c r="A12" s="3"/>
      <c r="B12" s="3" t="s">
        <v>7</v>
      </c>
      <c r="C12" s="4">
        <f t="shared" ref="C12:Q12" si="2">+SUM(C10:C11)</f>
        <v>946</v>
      </c>
      <c r="D12" s="4">
        <f t="shared" si="2"/>
        <v>1016.9000000000001</v>
      </c>
      <c r="E12" s="4">
        <f t="shared" si="2"/>
        <v>1073.9000000000001</v>
      </c>
      <c r="F12" s="4">
        <f t="shared" si="2"/>
        <v>1219.3000000000002</v>
      </c>
      <c r="G12" s="4">
        <f t="shared" si="2"/>
        <v>1247.4000000000001</v>
      </c>
      <c r="H12" s="4">
        <f t="shared" si="2"/>
        <v>1316.9</v>
      </c>
      <c r="I12" s="4">
        <f t="shared" si="2"/>
        <v>1386.7</v>
      </c>
      <c r="J12" s="4">
        <f t="shared" si="2"/>
        <v>1550.4999999999995</v>
      </c>
      <c r="K12" s="4">
        <f t="shared" si="2"/>
        <v>1563.4</v>
      </c>
      <c r="L12" s="4">
        <f t="shared" si="2"/>
        <v>1655.1</v>
      </c>
      <c r="M12" s="4">
        <f t="shared" si="2"/>
        <v>1720.9</v>
      </c>
      <c r="N12" s="4">
        <f t="shared" si="2"/>
        <v>1953.2999999999997</v>
      </c>
      <c r="O12" s="4">
        <f t="shared" si="2"/>
        <v>1878.1</v>
      </c>
      <c r="P12" s="4">
        <f t="shared" si="2"/>
        <v>1975.1000000000001</v>
      </c>
      <c r="Q12" s="4">
        <f t="shared" si="2"/>
        <v>1984.8</v>
      </c>
      <c r="R12" s="4">
        <v>2170</v>
      </c>
      <c r="T12" s="4">
        <f t="shared" ref="T12:AC12" si="3">+SUM(T10:T11)</f>
        <v>598.20000000000005</v>
      </c>
      <c r="U12" s="4">
        <f t="shared" si="3"/>
        <v>928.09999999999991</v>
      </c>
      <c r="V12" s="4">
        <f t="shared" si="3"/>
        <v>1378.5</v>
      </c>
      <c r="W12" s="4">
        <f t="shared" si="3"/>
        <v>1761.6</v>
      </c>
      <c r="X12" s="4">
        <f t="shared" si="3"/>
        <v>2273.6</v>
      </c>
      <c r="Y12" s="4">
        <f t="shared" si="3"/>
        <v>2899.6000000000004</v>
      </c>
      <c r="Z12" s="4">
        <f t="shared" si="3"/>
        <v>3408.3999999999996</v>
      </c>
      <c r="AA12" s="4">
        <f t="shared" si="3"/>
        <v>4256.1000000000004</v>
      </c>
      <c r="AB12" s="4">
        <f t="shared" si="3"/>
        <v>5501.5</v>
      </c>
      <c r="AC12" s="4">
        <f t="shared" si="3"/>
        <v>6892.7000000000007</v>
      </c>
      <c r="AD12" s="4">
        <f>+SUM(O12:R12)</f>
        <v>8008</v>
      </c>
    </row>
    <row r="13" spans="1:45" x14ac:dyDescent="0.2">
      <c r="B13" t="s">
        <v>10</v>
      </c>
      <c r="C13" s="1">
        <v>277.8</v>
      </c>
      <c r="D13" s="1">
        <v>307.60000000000002</v>
      </c>
      <c r="E13" s="1">
        <v>330.6</v>
      </c>
      <c r="F13" s="1">
        <f>+AA13-SUM(C13:E13)</f>
        <v>358.9</v>
      </c>
      <c r="G13" s="1">
        <v>380.6</v>
      </c>
      <c r="H13" s="1">
        <v>405.3</v>
      </c>
      <c r="I13" s="1">
        <v>440.5</v>
      </c>
      <c r="J13" s="1">
        <f>+AB13-SUM(G13:I13)</f>
        <v>492.29999999999995</v>
      </c>
      <c r="K13" s="1">
        <v>461.9</v>
      </c>
      <c r="L13" s="1">
        <v>466.2</v>
      </c>
      <c r="M13" s="1">
        <v>474.8</v>
      </c>
      <c r="N13" s="1">
        <f>+AC13-SUM(K13:M13)</f>
        <v>506.80000000000018</v>
      </c>
      <c r="O13" s="1">
        <v>472.8</v>
      </c>
      <c r="P13" s="1">
        <v>499.1</v>
      </c>
      <c r="Q13" s="1">
        <v>513.6</v>
      </c>
      <c r="T13" s="1">
        <v>159.6</v>
      </c>
      <c r="U13" s="1">
        <v>251.5</v>
      </c>
      <c r="V13" s="1">
        <v>370</v>
      </c>
      <c r="W13" s="1">
        <v>476.6</v>
      </c>
      <c r="X13" s="1">
        <v>645.1</v>
      </c>
      <c r="Y13" s="1">
        <v>808.4</v>
      </c>
      <c r="Z13" s="1">
        <v>999.5</v>
      </c>
      <c r="AA13" s="1">
        <v>1274.9000000000001</v>
      </c>
      <c r="AB13" s="1">
        <v>1718.7</v>
      </c>
      <c r="AC13" s="1">
        <v>1909.7</v>
      </c>
    </row>
    <row r="14" spans="1:45" x14ac:dyDescent="0.2">
      <c r="B14" t="s">
        <v>11</v>
      </c>
      <c r="C14" s="1">
        <f t="shared" ref="C14:Q14" si="4">+C12-C13</f>
        <v>668.2</v>
      </c>
      <c r="D14" s="1">
        <f t="shared" si="4"/>
        <v>709.30000000000007</v>
      </c>
      <c r="E14" s="1">
        <f t="shared" si="4"/>
        <v>743.30000000000007</v>
      </c>
      <c r="F14" s="1">
        <f t="shared" si="4"/>
        <v>860.4000000000002</v>
      </c>
      <c r="G14" s="1">
        <f t="shared" si="4"/>
        <v>866.80000000000007</v>
      </c>
      <c r="H14" s="1">
        <f t="shared" si="4"/>
        <v>911.60000000000014</v>
      </c>
      <c r="I14" s="1">
        <f t="shared" si="4"/>
        <v>946.2</v>
      </c>
      <c r="J14" s="1">
        <f t="shared" si="4"/>
        <v>1058.1999999999996</v>
      </c>
      <c r="K14" s="1">
        <f t="shared" si="4"/>
        <v>1101.5</v>
      </c>
      <c r="L14" s="1">
        <f t="shared" si="4"/>
        <v>1188.8999999999999</v>
      </c>
      <c r="M14" s="1">
        <f t="shared" si="4"/>
        <v>1246.1000000000001</v>
      </c>
      <c r="N14" s="1">
        <f t="shared" si="4"/>
        <v>1446.4999999999995</v>
      </c>
      <c r="O14" s="1">
        <f t="shared" si="4"/>
        <v>1405.3</v>
      </c>
      <c r="P14" s="1">
        <f t="shared" si="4"/>
        <v>1476</v>
      </c>
      <c r="Q14" s="1">
        <f t="shared" si="4"/>
        <v>1471.1999999999998</v>
      </c>
      <c r="T14" s="1">
        <f t="shared" ref="T14:AC14" si="5">+T12-T13</f>
        <v>438.6</v>
      </c>
      <c r="U14" s="1">
        <f t="shared" si="5"/>
        <v>676.59999999999991</v>
      </c>
      <c r="V14" s="1">
        <f t="shared" si="5"/>
        <v>1008.5</v>
      </c>
      <c r="W14" s="1">
        <f t="shared" si="5"/>
        <v>1285</v>
      </c>
      <c r="X14" s="1">
        <f t="shared" si="5"/>
        <v>1628.5</v>
      </c>
      <c r="Y14" s="1">
        <f t="shared" si="5"/>
        <v>2091.2000000000003</v>
      </c>
      <c r="Z14" s="1">
        <f t="shared" si="5"/>
        <v>2408.8999999999996</v>
      </c>
      <c r="AA14" s="1">
        <f t="shared" si="5"/>
        <v>2981.2000000000003</v>
      </c>
      <c r="AB14" s="1">
        <f t="shared" si="5"/>
        <v>3782.8</v>
      </c>
      <c r="AC14" s="1">
        <f t="shared" si="5"/>
        <v>4983.0000000000009</v>
      </c>
    </row>
    <row r="15" spans="1:45" x14ac:dyDescent="0.2">
      <c r="B15" t="s">
        <v>12</v>
      </c>
      <c r="C15" s="1">
        <v>237.4</v>
      </c>
      <c r="D15" s="1">
        <v>266.7</v>
      </c>
      <c r="E15" s="1">
        <v>311</v>
      </c>
      <c r="F15" s="1">
        <f>+AA15-SUM(C15:E15)</f>
        <v>325.30000000000007</v>
      </c>
      <c r="G15" s="1">
        <v>339.5</v>
      </c>
      <c r="H15" s="1">
        <v>359</v>
      </c>
      <c r="I15" s="1">
        <v>355.4</v>
      </c>
      <c r="J15" s="1">
        <f>+AB15-SUM(G15:I15)</f>
        <v>363.79999999999995</v>
      </c>
      <c r="K15" s="1">
        <v>371.8</v>
      </c>
      <c r="L15" s="1">
        <v>404.1</v>
      </c>
      <c r="M15" s="1">
        <v>413.7</v>
      </c>
      <c r="N15" s="1">
        <f>+AC15-SUM(K15:M15)</f>
        <v>414.39999999999986</v>
      </c>
      <c r="O15" s="1">
        <v>409.5</v>
      </c>
      <c r="P15" s="1">
        <v>447.9</v>
      </c>
      <c r="Q15" s="1">
        <v>457.2</v>
      </c>
      <c r="T15" s="1">
        <v>104.8</v>
      </c>
      <c r="U15" s="1">
        <v>185.8</v>
      </c>
      <c r="V15" s="1">
        <v>284.2</v>
      </c>
      <c r="W15" s="1">
        <v>347.4</v>
      </c>
      <c r="X15" s="1">
        <v>400.7</v>
      </c>
      <c r="Y15" s="1">
        <v>539.5</v>
      </c>
      <c r="Z15" s="1">
        <v>768.1</v>
      </c>
      <c r="AA15" s="1">
        <v>1140.4000000000001</v>
      </c>
      <c r="AB15" s="1">
        <v>1417.7</v>
      </c>
      <c r="AC15" s="1">
        <v>1604</v>
      </c>
    </row>
    <row r="16" spans="1:45" x14ac:dyDescent="0.2">
      <c r="B16" t="s">
        <v>13</v>
      </c>
      <c r="C16" s="1">
        <v>388.6</v>
      </c>
      <c r="D16" s="1">
        <v>427.4</v>
      </c>
      <c r="E16" s="1">
        <v>448</v>
      </c>
      <c r="F16" s="1">
        <f>+AA16-SUM(C16:E16)</f>
        <v>489.79999999999995</v>
      </c>
      <c r="G16" s="1">
        <v>505.9</v>
      </c>
      <c r="H16" s="1">
        <v>528.79999999999995</v>
      </c>
      <c r="I16" s="1">
        <v>543.6</v>
      </c>
      <c r="J16" s="1">
        <f>+AB16-SUM(G16:I16)</f>
        <v>570.60000000000036</v>
      </c>
      <c r="K16" s="1">
        <v>615</v>
      </c>
      <c r="L16" s="1">
        <v>625.5</v>
      </c>
      <c r="M16" s="1">
        <v>639.5</v>
      </c>
      <c r="N16" s="1">
        <f>+AC16-SUM(K16:M16)</f>
        <v>664</v>
      </c>
      <c r="O16" s="1">
        <v>660.5</v>
      </c>
      <c r="P16" s="1">
        <v>673</v>
      </c>
      <c r="Q16" s="1">
        <v>718.7</v>
      </c>
      <c r="T16" s="1">
        <v>334.8</v>
      </c>
      <c r="U16" s="1">
        <v>489</v>
      </c>
      <c r="V16" s="1">
        <v>743.2</v>
      </c>
      <c r="W16" s="1">
        <v>919.1</v>
      </c>
      <c r="X16" s="1">
        <v>1074.2</v>
      </c>
      <c r="Y16" s="1">
        <v>1344</v>
      </c>
      <c r="Z16" s="1">
        <v>1520.2</v>
      </c>
      <c r="AA16" s="1">
        <v>1753.8</v>
      </c>
      <c r="AB16" s="1">
        <v>2148.9</v>
      </c>
      <c r="AC16" s="1">
        <v>2544</v>
      </c>
    </row>
    <row r="17" spans="2:29" x14ac:dyDescent="0.2">
      <c r="B17" t="s">
        <v>14</v>
      </c>
      <c r="C17" s="1">
        <v>86.7</v>
      </c>
      <c r="D17" s="1">
        <v>104</v>
      </c>
      <c r="E17" s="1">
        <v>94.7</v>
      </c>
      <c r="F17" s="1">
        <f>+AA17-SUM(C17:E17)</f>
        <v>105.70000000000005</v>
      </c>
      <c r="G17" s="1">
        <v>104.1</v>
      </c>
      <c r="H17" s="1">
        <v>97.7</v>
      </c>
      <c r="I17" s="1">
        <v>94.8</v>
      </c>
      <c r="J17" s="1">
        <f>+AB17-SUM(G17:I17)</f>
        <v>108.39999999999998</v>
      </c>
      <c r="K17" s="1">
        <v>99.5</v>
      </c>
      <c r="L17" s="1">
        <v>119.4</v>
      </c>
      <c r="M17" s="1">
        <v>114.2</v>
      </c>
      <c r="N17" s="1">
        <f>+AC17-SUM(K17:M17)</f>
        <v>114.59999999999997</v>
      </c>
      <c r="O17" s="1">
        <v>120.1</v>
      </c>
      <c r="P17" s="1">
        <v>301.5</v>
      </c>
      <c r="Q17" s="1">
        <v>118.6</v>
      </c>
      <c r="T17" s="1">
        <v>73.099999999999994</v>
      </c>
      <c r="U17" s="1">
        <v>101.6</v>
      </c>
      <c r="V17" s="1">
        <v>138.4</v>
      </c>
      <c r="W17" s="1">
        <v>198.3</v>
      </c>
      <c r="X17" s="1">
        <v>257.8</v>
      </c>
      <c r="Y17" s="1">
        <v>261.8</v>
      </c>
      <c r="Z17" s="1">
        <v>299.60000000000002</v>
      </c>
      <c r="AA17" s="1">
        <v>391.1</v>
      </c>
      <c r="AB17" s="1">
        <v>405</v>
      </c>
      <c r="AC17" s="1">
        <v>447.7</v>
      </c>
    </row>
    <row r="18" spans="2:29" x14ac:dyDescent="0.2">
      <c r="B18" t="s">
        <v>15</v>
      </c>
      <c r="C18" s="1">
        <f t="shared" ref="C18:Q18" si="6">+SUM(C15:C17)</f>
        <v>712.7</v>
      </c>
      <c r="D18" s="1">
        <f t="shared" si="6"/>
        <v>798.09999999999991</v>
      </c>
      <c r="E18" s="1">
        <f t="shared" si="6"/>
        <v>853.7</v>
      </c>
      <c r="F18" s="1">
        <f t="shared" si="6"/>
        <v>920.80000000000007</v>
      </c>
      <c r="G18" s="1">
        <f t="shared" si="6"/>
        <v>949.5</v>
      </c>
      <c r="H18" s="1">
        <f t="shared" si="6"/>
        <v>985.5</v>
      </c>
      <c r="I18" s="1">
        <f t="shared" si="6"/>
        <v>993.8</v>
      </c>
      <c r="J18" s="1">
        <f t="shared" si="6"/>
        <v>1042.8000000000002</v>
      </c>
      <c r="K18" s="1">
        <f t="shared" si="6"/>
        <v>1086.3</v>
      </c>
      <c r="L18" s="1">
        <f t="shared" si="6"/>
        <v>1149</v>
      </c>
      <c r="M18" s="1">
        <f t="shared" si="6"/>
        <v>1167.4000000000001</v>
      </c>
      <c r="N18" s="1">
        <f t="shared" si="6"/>
        <v>1192.9999999999998</v>
      </c>
      <c r="O18" s="1">
        <f t="shared" si="6"/>
        <v>1190.0999999999999</v>
      </c>
      <c r="P18" s="1">
        <f t="shared" si="6"/>
        <v>1422.4</v>
      </c>
      <c r="Q18" s="1">
        <f t="shared" si="6"/>
        <v>1294.5</v>
      </c>
      <c r="T18" s="1">
        <f t="shared" ref="T18:AC18" si="7">+SUM(T15:T17)</f>
        <v>512.70000000000005</v>
      </c>
      <c r="U18" s="1">
        <f t="shared" si="7"/>
        <v>776.4</v>
      </c>
      <c r="V18" s="1">
        <f t="shared" si="7"/>
        <v>1165.8000000000002</v>
      </c>
      <c r="W18" s="1">
        <f t="shared" si="7"/>
        <v>1464.8</v>
      </c>
      <c r="X18" s="1">
        <f t="shared" si="7"/>
        <v>1732.7</v>
      </c>
      <c r="Y18" s="1">
        <f t="shared" si="7"/>
        <v>2145.3000000000002</v>
      </c>
      <c r="Z18" s="1">
        <f t="shared" si="7"/>
        <v>2587.9</v>
      </c>
      <c r="AA18" s="1">
        <f t="shared" si="7"/>
        <v>3285.2999999999997</v>
      </c>
      <c r="AB18" s="1">
        <f t="shared" si="7"/>
        <v>3971.6000000000004</v>
      </c>
      <c r="AC18" s="1">
        <f t="shared" si="7"/>
        <v>4595.7</v>
      </c>
    </row>
    <row r="19" spans="2:29" x14ac:dyDescent="0.2">
      <c r="B19" t="s">
        <v>16</v>
      </c>
      <c r="C19" s="1">
        <f t="shared" ref="C19:Q19" si="8">+C14-C18</f>
        <v>-44.5</v>
      </c>
      <c r="D19" s="1">
        <f t="shared" si="8"/>
        <v>-88.799999999999841</v>
      </c>
      <c r="E19" s="1">
        <f t="shared" si="8"/>
        <v>-110.39999999999998</v>
      </c>
      <c r="F19" s="1">
        <f t="shared" si="8"/>
        <v>-60.399999999999864</v>
      </c>
      <c r="G19" s="1">
        <f t="shared" si="8"/>
        <v>-82.699999999999932</v>
      </c>
      <c r="H19" s="1">
        <f t="shared" si="8"/>
        <v>-73.899999999999864</v>
      </c>
      <c r="I19" s="1">
        <f t="shared" si="8"/>
        <v>-47.599999999999909</v>
      </c>
      <c r="J19" s="1">
        <f t="shared" si="8"/>
        <v>15.399999999999409</v>
      </c>
      <c r="K19" s="1">
        <f t="shared" si="8"/>
        <v>15.200000000000045</v>
      </c>
      <c r="L19" s="1">
        <f t="shared" si="8"/>
        <v>39.899999999999864</v>
      </c>
      <c r="M19" s="1">
        <f t="shared" si="8"/>
        <v>78.700000000000045</v>
      </c>
      <c r="N19" s="1">
        <f t="shared" si="8"/>
        <v>253.49999999999977</v>
      </c>
      <c r="O19" s="1">
        <f t="shared" si="8"/>
        <v>215.20000000000005</v>
      </c>
      <c r="P19" s="1">
        <f t="shared" si="8"/>
        <v>53.599999999999909</v>
      </c>
      <c r="Q19" s="1">
        <f t="shared" si="8"/>
        <v>176.69999999999982</v>
      </c>
      <c r="T19" s="1">
        <f t="shared" ref="T19:AC19" si="9">+T14-T18</f>
        <v>-74.100000000000023</v>
      </c>
      <c r="U19" s="1">
        <f t="shared" si="9"/>
        <v>-99.800000000000068</v>
      </c>
      <c r="V19" s="1">
        <f t="shared" si="9"/>
        <v>-157.30000000000018</v>
      </c>
      <c r="W19" s="1">
        <f t="shared" si="9"/>
        <v>-179.79999999999995</v>
      </c>
      <c r="X19" s="1">
        <f t="shared" si="9"/>
        <v>-104.20000000000005</v>
      </c>
      <c r="Y19" s="1">
        <f t="shared" si="9"/>
        <v>-54.099999999999909</v>
      </c>
      <c r="Z19" s="1">
        <f t="shared" si="9"/>
        <v>-179.00000000000045</v>
      </c>
      <c r="AA19" s="1">
        <f t="shared" si="9"/>
        <v>-304.09999999999945</v>
      </c>
      <c r="AB19" s="1">
        <f t="shared" si="9"/>
        <v>-188.80000000000018</v>
      </c>
      <c r="AC19" s="1">
        <f t="shared" si="9"/>
        <v>387.30000000000109</v>
      </c>
    </row>
    <row r="20" spans="2:29" x14ac:dyDescent="0.2">
      <c r="B20" t="s">
        <v>17</v>
      </c>
      <c r="C20" s="1">
        <v>-40.200000000000003</v>
      </c>
      <c r="D20" s="1">
        <v>-40.700000000000003</v>
      </c>
      <c r="E20" s="1">
        <v>-41</v>
      </c>
      <c r="F20" s="1">
        <f>+AA20-SUM(C20:E20)</f>
        <v>-41.400000000000006</v>
      </c>
      <c r="G20" s="1">
        <v>-6.9</v>
      </c>
      <c r="H20" s="1">
        <v>-6.8</v>
      </c>
      <c r="I20" s="1">
        <v>-6.8</v>
      </c>
      <c r="J20" s="1">
        <f>+AB20-SUM(G20:I20)</f>
        <v>-6.8999999999999986</v>
      </c>
      <c r="K20" s="1">
        <v>-6.8</v>
      </c>
      <c r="L20" s="1">
        <v>-6.9</v>
      </c>
      <c r="M20" s="1">
        <v>-7.8</v>
      </c>
      <c r="N20" s="1">
        <f>+AC20-SUM(K20:M20)</f>
        <v>-5.6999999999999993</v>
      </c>
      <c r="O20" s="1">
        <v>-2.9</v>
      </c>
      <c r="P20" s="1">
        <v>-2.8</v>
      </c>
      <c r="Q20" s="1">
        <v>-2.2999999999999998</v>
      </c>
      <c r="T20" s="1">
        <v>-1.9</v>
      </c>
      <c r="U20" s="1">
        <v>-22.3</v>
      </c>
      <c r="V20" s="1">
        <v>-23.4</v>
      </c>
      <c r="W20" s="1">
        <v>-24.5</v>
      </c>
      <c r="X20" s="1">
        <v>-29.6</v>
      </c>
      <c r="Y20" s="1">
        <v>-83.9</v>
      </c>
      <c r="Z20" s="1">
        <v>-88.7</v>
      </c>
      <c r="AA20" s="1">
        <v>-163.30000000000001</v>
      </c>
      <c r="AB20" s="1">
        <v>-27.4</v>
      </c>
      <c r="AC20" s="1">
        <v>-27.2</v>
      </c>
    </row>
    <row r="21" spans="2:29" x14ac:dyDescent="0.2">
      <c r="B21" t="s">
        <v>18</v>
      </c>
      <c r="C21" s="1">
        <v>2.4</v>
      </c>
      <c r="D21" s="1">
        <v>-0.5</v>
      </c>
      <c r="E21" s="1">
        <v>1</v>
      </c>
      <c r="F21" s="1">
        <f>+AA21-SUM(C21:E21)</f>
        <v>-0.5</v>
      </c>
      <c r="G21" s="1">
        <v>-1.6</v>
      </c>
      <c r="H21" s="1">
        <v>-0.1</v>
      </c>
      <c r="I21" s="1">
        <v>1.9</v>
      </c>
      <c r="J21" s="1">
        <f>+AB21-SUM(G21:I21)</f>
        <v>8.8000000000000007</v>
      </c>
      <c r="K21" s="1">
        <v>26</v>
      </c>
      <c r="L21" s="1">
        <v>51.4</v>
      </c>
      <c r="M21" s="1">
        <v>60.1</v>
      </c>
      <c r="N21" s="1">
        <f>+AC21-SUM(K21:M21)</f>
        <v>68.699999999999989</v>
      </c>
      <c r="O21" s="1">
        <v>70.3</v>
      </c>
      <c r="P21" s="1">
        <v>84.7</v>
      </c>
      <c r="Q21" s="1">
        <v>76.8</v>
      </c>
      <c r="T21" s="1">
        <v>-5</v>
      </c>
      <c r="U21" s="1">
        <v>0.2</v>
      </c>
      <c r="V21" s="1">
        <v>8.4</v>
      </c>
      <c r="W21" s="1">
        <v>10.199999999999999</v>
      </c>
      <c r="X21" s="1">
        <v>28.5</v>
      </c>
      <c r="Y21" s="1">
        <v>63.4</v>
      </c>
      <c r="Z21" s="1">
        <v>35.9</v>
      </c>
      <c r="AA21" s="1">
        <v>2.4</v>
      </c>
      <c r="AB21" s="1">
        <v>9</v>
      </c>
      <c r="AC21" s="1">
        <v>206.2</v>
      </c>
    </row>
    <row r="22" spans="2:29" x14ac:dyDescent="0.2">
      <c r="B22" t="s">
        <v>19</v>
      </c>
      <c r="C22" s="1">
        <f t="shared" ref="C22:Q22" si="10">+C19+SUM(C20:C21)</f>
        <v>-82.300000000000011</v>
      </c>
      <c r="D22" s="1">
        <f t="shared" si="10"/>
        <v>-129.99999999999983</v>
      </c>
      <c r="E22" s="1">
        <f t="shared" si="10"/>
        <v>-150.39999999999998</v>
      </c>
      <c r="F22" s="1">
        <f t="shared" si="10"/>
        <v>-102.29999999999987</v>
      </c>
      <c r="G22" s="1">
        <f t="shared" si="10"/>
        <v>-91.199999999999932</v>
      </c>
      <c r="H22" s="1">
        <f t="shared" si="10"/>
        <v>-80.799999999999869</v>
      </c>
      <c r="I22" s="1">
        <f t="shared" si="10"/>
        <v>-52.499999999999908</v>
      </c>
      <c r="J22" s="1">
        <f t="shared" si="10"/>
        <v>17.299999999999411</v>
      </c>
      <c r="K22" s="1">
        <f t="shared" si="10"/>
        <v>34.400000000000048</v>
      </c>
      <c r="L22" s="1">
        <f t="shared" si="10"/>
        <v>84.399999999999864</v>
      </c>
      <c r="M22" s="1">
        <f t="shared" si="10"/>
        <v>131.00000000000006</v>
      </c>
      <c r="N22" s="1">
        <f t="shared" si="10"/>
        <v>316.49999999999977</v>
      </c>
      <c r="O22" s="1">
        <f t="shared" si="10"/>
        <v>282.60000000000002</v>
      </c>
      <c r="P22" s="1">
        <f t="shared" si="10"/>
        <v>135.49999999999991</v>
      </c>
      <c r="Q22" s="1">
        <f t="shared" si="10"/>
        <v>251.19999999999982</v>
      </c>
      <c r="T22" s="1">
        <f t="shared" ref="T22:AC22" si="11">+T19+SUM(T20:T21)</f>
        <v>-81.000000000000028</v>
      </c>
      <c r="U22" s="1">
        <f t="shared" si="11"/>
        <v>-121.90000000000006</v>
      </c>
      <c r="V22" s="1">
        <f t="shared" si="11"/>
        <v>-172.30000000000018</v>
      </c>
      <c r="W22" s="1">
        <f t="shared" si="11"/>
        <v>-194.09999999999997</v>
      </c>
      <c r="X22" s="1">
        <f t="shared" si="11"/>
        <v>-105.30000000000004</v>
      </c>
      <c r="Y22" s="1">
        <f t="shared" si="11"/>
        <v>-74.599999999999909</v>
      </c>
      <c r="Z22" s="1">
        <f t="shared" si="11"/>
        <v>-231.80000000000047</v>
      </c>
      <c r="AA22" s="1">
        <f t="shared" si="11"/>
        <v>-464.99999999999943</v>
      </c>
      <c r="AB22" s="1">
        <f t="shared" si="11"/>
        <v>-207.20000000000019</v>
      </c>
      <c r="AC22" s="1">
        <f t="shared" si="11"/>
        <v>566.30000000000109</v>
      </c>
    </row>
    <row r="23" spans="2:29" x14ac:dyDescent="0.2">
      <c r="B23" t="s">
        <v>20</v>
      </c>
      <c r="C23" s="1">
        <v>9.9</v>
      </c>
      <c r="D23" s="1">
        <v>12.3</v>
      </c>
      <c r="E23" s="1">
        <v>-5.3</v>
      </c>
      <c r="F23" s="1">
        <f>+AA23-SUM(C23:E23)</f>
        <v>16.999999999999996</v>
      </c>
      <c r="G23" s="1">
        <v>12.4</v>
      </c>
      <c r="H23" s="1">
        <v>12.7</v>
      </c>
      <c r="I23" s="1">
        <v>20.7</v>
      </c>
      <c r="J23" s="1">
        <f>+AB23-SUM(G23:I23)</f>
        <v>14</v>
      </c>
      <c r="K23" s="1">
        <v>14.4</v>
      </c>
      <c r="L23" s="1">
        <v>0.2</v>
      </c>
      <c r="M23" s="1">
        <v>23.2</v>
      </c>
      <c r="N23" s="1">
        <f>+AC23-SUM(K23:M23)</f>
        <v>88.8</v>
      </c>
      <c r="O23" s="1">
        <v>88.4</v>
      </c>
      <c r="P23" s="1">
        <v>-1611.4</v>
      </c>
      <c r="Q23" s="1">
        <v>-27.6</v>
      </c>
      <c r="T23" s="1">
        <v>4.3</v>
      </c>
      <c r="U23" s="1">
        <v>9.4</v>
      </c>
      <c r="V23" s="1">
        <v>20.399999999999999</v>
      </c>
      <c r="W23" s="1">
        <v>22.5</v>
      </c>
      <c r="X23" s="1">
        <v>16.899999999999999</v>
      </c>
      <c r="Y23" s="1">
        <v>7.3</v>
      </c>
      <c r="Z23" s="1">
        <v>35.200000000000003</v>
      </c>
      <c r="AA23" s="1">
        <v>33.9</v>
      </c>
      <c r="AB23" s="1">
        <v>59.8</v>
      </c>
      <c r="AC23" s="1">
        <v>126.6</v>
      </c>
    </row>
    <row r="24" spans="2:29" x14ac:dyDescent="0.2">
      <c r="B24" t="s">
        <v>21</v>
      </c>
      <c r="C24" s="1">
        <f t="shared" ref="C24:Q24" si="12">+C22-C23</f>
        <v>-92.200000000000017</v>
      </c>
      <c r="D24" s="1">
        <f t="shared" si="12"/>
        <v>-142.29999999999984</v>
      </c>
      <c r="E24" s="1">
        <f t="shared" si="12"/>
        <v>-145.09999999999997</v>
      </c>
      <c r="F24" s="1">
        <f t="shared" si="12"/>
        <v>-119.29999999999987</v>
      </c>
      <c r="G24" s="1">
        <f t="shared" si="12"/>
        <v>-103.59999999999994</v>
      </c>
      <c r="H24" s="1">
        <f t="shared" si="12"/>
        <v>-93.499999999999872</v>
      </c>
      <c r="I24" s="1">
        <f t="shared" si="12"/>
        <v>-73.199999999999903</v>
      </c>
      <c r="J24" s="1">
        <f t="shared" si="12"/>
        <v>3.299999999999411</v>
      </c>
      <c r="K24" s="1">
        <f t="shared" si="12"/>
        <v>20.00000000000005</v>
      </c>
      <c r="L24" s="1">
        <f t="shared" si="12"/>
        <v>84.199999999999861</v>
      </c>
      <c r="M24" s="1">
        <f t="shared" si="12"/>
        <v>107.80000000000005</v>
      </c>
      <c r="N24" s="1">
        <f t="shared" si="12"/>
        <v>227.69999999999976</v>
      </c>
      <c r="O24" s="1">
        <f t="shared" si="12"/>
        <v>194.20000000000002</v>
      </c>
      <c r="P24" s="1">
        <f t="shared" si="12"/>
        <v>1746.9</v>
      </c>
      <c r="Q24" s="1">
        <f t="shared" si="12"/>
        <v>278.79999999999984</v>
      </c>
      <c r="T24" s="1">
        <f t="shared" ref="T24:AC24" si="13">+T22-T23</f>
        <v>-85.300000000000026</v>
      </c>
      <c r="U24" s="1">
        <f t="shared" si="13"/>
        <v>-131.30000000000007</v>
      </c>
      <c r="V24" s="1">
        <f t="shared" si="13"/>
        <v>-192.70000000000019</v>
      </c>
      <c r="W24" s="1">
        <f t="shared" si="13"/>
        <v>-216.59999999999997</v>
      </c>
      <c r="X24" s="1">
        <f t="shared" si="13"/>
        <v>-122.20000000000005</v>
      </c>
      <c r="Y24" s="1">
        <f t="shared" si="13"/>
        <v>-81.899999999999906</v>
      </c>
      <c r="Z24" s="1">
        <f t="shared" si="13"/>
        <v>-267.00000000000045</v>
      </c>
      <c r="AA24" s="1">
        <f t="shared" si="13"/>
        <v>-498.89999999999941</v>
      </c>
      <c r="AB24" s="1">
        <f t="shared" si="13"/>
        <v>-267.00000000000017</v>
      </c>
      <c r="AC24" s="1">
        <f t="shared" si="13"/>
        <v>439.70000000000107</v>
      </c>
    </row>
    <row r="25" spans="2:29" x14ac:dyDescent="0.2">
      <c r="B25" t="s">
        <v>22</v>
      </c>
      <c r="C25" s="8">
        <f t="shared" ref="C25:Q25" si="14">+C24/C26</f>
        <v>-0.96544502617801065</v>
      </c>
      <c r="D25" s="8">
        <f t="shared" si="14"/>
        <v>-1.4838373305526573</v>
      </c>
      <c r="E25" s="8">
        <f t="shared" si="14"/>
        <v>-1.4974200206398345</v>
      </c>
      <c r="F25" s="8">
        <f t="shared" si="14"/>
        <v>-1.241415192507803</v>
      </c>
      <c r="G25" s="8">
        <f t="shared" si="14"/>
        <v>-1.061475409836065</v>
      </c>
      <c r="H25" s="8">
        <f t="shared" si="14"/>
        <v>-0.95213849287168906</v>
      </c>
      <c r="I25" s="8">
        <f t="shared" si="14"/>
        <v>-0.74014155712841156</v>
      </c>
      <c r="J25" s="8">
        <f t="shared" si="14"/>
        <v>3.3593484899892202E-2</v>
      </c>
      <c r="K25" s="8">
        <f t="shared" si="14"/>
        <v>5.9101654846335845E-2</v>
      </c>
      <c r="L25" s="8">
        <f t="shared" si="14"/>
        <v>0.25392038600723721</v>
      </c>
      <c r="M25" s="8">
        <f t="shared" si="14"/>
        <v>0.31273571221351915</v>
      </c>
      <c r="N25" s="8">
        <f t="shared" si="14"/>
        <v>0.67320390263131891</v>
      </c>
      <c r="O25" s="8">
        <f t="shared" si="14"/>
        <v>0.55517438536306463</v>
      </c>
      <c r="P25" s="8">
        <f t="shared" si="14"/>
        <v>4.886433566433567</v>
      </c>
      <c r="Q25" s="8">
        <f t="shared" si="14"/>
        <v>0.78623801466441012</v>
      </c>
      <c r="T25" s="8">
        <f t="shared" ref="T25:AC25" si="15">+T24/T26</f>
        <v>-1.1480484522207273</v>
      </c>
      <c r="U25" s="8">
        <f t="shared" si="15"/>
        <v>-1.6090686274509813</v>
      </c>
      <c r="V25" s="8">
        <f t="shared" si="15"/>
        <v>-2.2123995407577519</v>
      </c>
      <c r="W25" s="8">
        <f t="shared" si="15"/>
        <v>-2.3907284768211916</v>
      </c>
      <c r="X25" s="8">
        <f t="shared" si="15"/>
        <v>-1.3326063249727376</v>
      </c>
      <c r="Y25" s="8">
        <f t="shared" si="15"/>
        <v>-0.8666666666666657</v>
      </c>
      <c r="Z25" s="8">
        <f t="shared" si="15"/>
        <v>-2.7554179566563515</v>
      </c>
      <c r="AA25" s="8">
        <f t="shared" si="15"/>
        <v>-1.7257004496713919</v>
      </c>
      <c r="AB25" s="8">
        <f t="shared" si="15"/>
        <v>-0.90324763193504787</v>
      </c>
      <c r="AC25" s="8">
        <f t="shared" si="15"/>
        <v>1.2845457201285453</v>
      </c>
    </row>
    <row r="26" spans="2:29" x14ac:dyDescent="0.2">
      <c r="B26" t="s">
        <v>1</v>
      </c>
      <c r="C26" s="1">
        <v>95.5</v>
      </c>
      <c r="D26" s="1">
        <v>95.9</v>
      </c>
      <c r="E26" s="1">
        <v>96.9</v>
      </c>
      <c r="F26" s="1">
        <f>+AVERAGE(C26:E26)</f>
        <v>96.100000000000009</v>
      </c>
      <c r="G26" s="1">
        <v>97.6</v>
      </c>
      <c r="H26" s="1">
        <v>98.2</v>
      </c>
      <c r="I26" s="1">
        <v>98.9</v>
      </c>
      <c r="J26" s="1">
        <f>+AVERAGE(G26:I26)</f>
        <v>98.233333333333348</v>
      </c>
      <c r="K26" s="1">
        <v>338.4</v>
      </c>
      <c r="L26" s="1">
        <v>331.6</v>
      </c>
      <c r="M26" s="1">
        <v>344.7</v>
      </c>
      <c r="N26" s="1">
        <f>+AVERAGE(K26:M26)</f>
        <v>338.23333333333335</v>
      </c>
      <c r="O26" s="1">
        <v>349.8</v>
      </c>
      <c r="P26" s="1">
        <v>357.5</v>
      </c>
      <c r="Q26" s="1">
        <v>354.6</v>
      </c>
      <c r="T26" s="1">
        <v>74.3</v>
      </c>
      <c r="U26" s="1">
        <v>81.599999999999994</v>
      </c>
      <c r="V26" s="1">
        <v>87.1</v>
      </c>
      <c r="W26" s="1">
        <v>90.6</v>
      </c>
      <c r="X26" s="1">
        <v>91.7</v>
      </c>
      <c r="Y26" s="1">
        <v>94.5</v>
      </c>
      <c r="Z26" s="1">
        <v>96.9</v>
      </c>
      <c r="AA26" s="1">
        <v>289.10000000000002</v>
      </c>
      <c r="AB26" s="1">
        <v>295.60000000000002</v>
      </c>
      <c r="AC26" s="1">
        <v>342.3</v>
      </c>
    </row>
    <row r="28" spans="2:29" s="5" customFormat="1" x14ac:dyDescent="0.2">
      <c r="B28" s="5" t="s">
        <v>28</v>
      </c>
      <c r="C28" s="5">
        <f t="shared" ref="C28" si="16">+C15/C12</f>
        <v>0.25095137420718816</v>
      </c>
      <c r="D28" s="5">
        <f t="shared" ref="D28" si="17">+D15/D12</f>
        <v>0.26226767627101971</v>
      </c>
      <c r="E28" s="5">
        <f t="shared" ref="E28:F28" si="18">+E15/E12</f>
        <v>0.2895986590930254</v>
      </c>
      <c r="F28" s="5">
        <f t="shared" si="18"/>
        <v>0.26679242188140739</v>
      </c>
      <c r="G28" s="5">
        <f t="shared" ref="G28" si="19">+G15/G12</f>
        <v>0.27216610549943882</v>
      </c>
      <c r="H28" s="5">
        <f t="shared" ref="H28:I28" si="20">+H15/H12</f>
        <v>0.272609917229858</v>
      </c>
      <c r="I28" s="5">
        <f t="shared" si="20"/>
        <v>0.25629191605971008</v>
      </c>
      <c r="J28" s="5">
        <f t="shared" ref="J28" si="21">+J15/J12</f>
        <v>0.23463398903579494</v>
      </c>
      <c r="K28" s="5">
        <f t="shared" ref="K28:N28" si="22">+K15/K12</f>
        <v>0.23781501854931558</v>
      </c>
      <c r="L28" s="5">
        <f t="shared" si="22"/>
        <v>0.24415443175638937</v>
      </c>
      <c r="M28" s="5">
        <f t="shared" si="22"/>
        <v>0.24039746644197801</v>
      </c>
      <c r="N28" s="5">
        <f t="shared" si="22"/>
        <v>0.21215379102032453</v>
      </c>
      <c r="O28" s="5">
        <f t="shared" ref="O28:Q28" si="23">+O15/O12</f>
        <v>0.21803950801341782</v>
      </c>
      <c r="P28" s="5">
        <f t="shared" si="23"/>
        <v>0.22677332793276286</v>
      </c>
      <c r="Q28" s="5">
        <f t="shared" si="23"/>
        <v>0.23035066505441354</v>
      </c>
      <c r="T28" s="5">
        <f t="shared" ref="T28" si="24">+T15/T12</f>
        <v>0.17519224339685721</v>
      </c>
      <c r="U28" s="5">
        <f t="shared" ref="U28:V28" si="25">+U15/U12</f>
        <v>0.20019394461803688</v>
      </c>
      <c r="V28" s="5">
        <f t="shared" si="25"/>
        <v>0.20616612259702574</v>
      </c>
      <c r="W28" s="5">
        <f t="shared" ref="W28:X28" si="26">+W15/W12</f>
        <v>0.19720708446866483</v>
      </c>
      <c r="X28" s="5">
        <f t="shared" si="26"/>
        <v>0.17624032371569318</v>
      </c>
      <c r="Y28" s="5">
        <f t="shared" ref="Y28:Z28" si="27">+Y15/Y12</f>
        <v>0.18606014622706579</v>
      </c>
      <c r="Z28" s="5">
        <f t="shared" si="27"/>
        <v>0.22535500528107033</v>
      </c>
      <c r="AA28" s="5">
        <f t="shared" ref="AA28:AB28" si="28">+AA15/AA12</f>
        <v>0.26794483212330539</v>
      </c>
      <c r="AB28" s="5">
        <f t="shared" si="28"/>
        <v>0.25769335635735707</v>
      </c>
      <c r="AC28" s="5">
        <f>+AC15/AC12</f>
        <v>0.23270996851741696</v>
      </c>
    </row>
    <row r="29" spans="2:29" s="5" customFormat="1" x14ac:dyDescent="0.2">
      <c r="B29" s="5" t="s">
        <v>23</v>
      </c>
      <c r="C29" s="5">
        <f t="shared" ref="C29:Q29" si="29">+C14/C12</f>
        <v>0.70634249471458777</v>
      </c>
      <c r="D29" s="5">
        <f t="shared" si="29"/>
        <v>0.69751204641557674</v>
      </c>
      <c r="E29" s="5">
        <f t="shared" si="29"/>
        <v>0.69215010708632085</v>
      </c>
      <c r="F29" s="5">
        <f t="shared" si="29"/>
        <v>0.70565078323628316</v>
      </c>
      <c r="G29" s="5">
        <f t="shared" si="29"/>
        <v>0.69488536155202818</v>
      </c>
      <c r="H29" s="5">
        <f t="shared" si="29"/>
        <v>0.69223175639760048</v>
      </c>
      <c r="I29" s="5">
        <f t="shared" si="29"/>
        <v>0.68233936684214325</v>
      </c>
      <c r="J29" s="5">
        <f t="shared" si="29"/>
        <v>0.6824895195098355</v>
      </c>
      <c r="K29" s="5">
        <f t="shared" si="29"/>
        <v>0.70455417679416654</v>
      </c>
      <c r="L29" s="5">
        <f t="shared" si="29"/>
        <v>0.71832517672648177</v>
      </c>
      <c r="M29" s="5">
        <f t="shared" si="29"/>
        <v>0.72409785577314201</v>
      </c>
      <c r="N29" s="5">
        <f t="shared" si="29"/>
        <v>0.74054164746838669</v>
      </c>
      <c r="O29" s="5">
        <f t="shared" si="29"/>
        <v>0.74825621638890372</v>
      </c>
      <c r="P29" s="5">
        <f t="shared" si="29"/>
        <v>0.74730393397802641</v>
      </c>
      <c r="Q29" s="5">
        <f t="shared" si="29"/>
        <v>0.74123337363966135</v>
      </c>
      <c r="T29" s="5">
        <f t="shared" ref="T29:AC29" si="30">+T14/T12</f>
        <v>0.73319959879638918</v>
      </c>
      <c r="U29" s="5">
        <f t="shared" si="30"/>
        <v>0.72901626979851308</v>
      </c>
      <c r="V29" s="5">
        <f t="shared" si="30"/>
        <v>0.73159231048240847</v>
      </c>
      <c r="W29" s="5">
        <f t="shared" si="30"/>
        <v>0.72945049954586738</v>
      </c>
      <c r="X29" s="5">
        <f t="shared" si="30"/>
        <v>0.71626495425756509</v>
      </c>
      <c r="Y29" s="5">
        <f t="shared" si="30"/>
        <v>0.72120292454131607</v>
      </c>
      <c r="Z29" s="5">
        <f t="shared" si="30"/>
        <v>0.70675390212416378</v>
      </c>
      <c r="AA29" s="5">
        <f t="shared" si="30"/>
        <v>0.70045346678884424</v>
      </c>
      <c r="AB29" s="5">
        <f t="shared" si="30"/>
        <v>0.68759429246569126</v>
      </c>
      <c r="AC29" s="5">
        <f t="shared" si="30"/>
        <v>0.72293876129818513</v>
      </c>
    </row>
    <row r="30" spans="2:29" s="5" customFormat="1" x14ac:dyDescent="0.2">
      <c r="B30" s="5" t="s">
        <v>24</v>
      </c>
      <c r="C30" s="5">
        <f t="shared" ref="C30:Q30" si="31">+C19/C12</f>
        <v>-4.7040169133192387E-2</v>
      </c>
      <c r="D30" s="5">
        <f t="shared" si="31"/>
        <v>-8.7324220670665587E-2</v>
      </c>
      <c r="E30" s="5">
        <f t="shared" si="31"/>
        <v>-0.10280286805102894</v>
      </c>
      <c r="F30" s="5">
        <f t="shared" si="31"/>
        <v>-4.953661937177057E-2</v>
      </c>
      <c r="G30" s="5">
        <f t="shared" si="31"/>
        <v>-6.6297899631232907E-2</v>
      </c>
      <c r="H30" s="5">
        <f t="shared" si="31"/>
        <v>-5.6116637557901021E-2</v>
      </c>
      <c r="I30" s="5">
        <f t="shared" si="31"/>
        <v>-3.4326097930338147E-2</v>
      </c>
      <c r="J30" s="5">
        <f t="shared" si="31"/>
        <v>9.9322799097061685E-3</v>
      </c>
      <c r="K30" s="5">
        <f t="shared" si="31"/>
        <v>9.7223998976589763E-3</v>
      </c>
      <c r="L30" s="5">
        <f t="shared" si="31"/>
        <v>2.4107304694580306E-2</v>
      </c>
      <c r="M30" s="5">
        <f t="shared" si="31"/>
        <v>4.5731884479051681E-2</v>
      </c>
      <c r="N30" s="5">
        <f t="shared" si="31"/>
        <v>0.12978037167869749</v>
      </c>
      <c r="O30" s="5">
        <f t="shared" si="31"/>
        <v>0.11458388797188651</v>
      </c>
      <c r="P30" s="5">
        <f t="shared" si="31"/>
        <v>2.7137866437142374E-2</v>
      </c>
      <c r="Q30" s="5">
        <f t="shared" si="31"/>
        <v>8.9026602176541625E-2</v>
      </c>
      <c r="T30" s="5">
        <f t="shared" ref="T30:AC30" si="32">+T19/T12</f>
        <v>-0.12387161484453363</v>
      </c>
      <c r="U30" s="5">
        <f t="shared" si="32"/>
        <v>-0.10753151600043107</v>
      </c>
      <c r="V30" s="5">
        <f t="shared" si="32"/>
        <v>-0.11410953935437082</v>
      </c>
      <c r="W30" s="5">
        <f t="shared" si="32"/>
        <v>-0.10206630336058127</v>
      </c>
      <c r="X30" s="5">
        <f t="shared" si="32"/>
        <v>-4.5830401125967653E-2</v>
      </c>
      <c r="Y30" s="5">
        <f t="shared" si="32"/>
        <v>-1.8657745895985619E-2</v>
      </c>
      <c r="Z30" s="5">
        <f t="shared" si="32"/>
        <v>-5.2517310174862247E-2</v>
      </c>
      <c r="AA30" s="5">
        <f t="shared" si="32"/>
        <v>-7.1450388853645228E-2</v>
      </c>
      <c r="AB30" s="5">
        <f t="shared" si="32"/>
        <v>-3.431791329637375E-2</v>
      </c>
      <c r="AC30" s="5">
        <f t="shared" si="32"/>
        <v>5.618988204912459E-2</v>
      </c>
    </row>
    <row r="31" spans="2:29" s="5" customFormat="1" x14ac:dyDescent="0.2">
      <c r="B31" s="5" t="s">
        <v>25</v>
      </c>
      <c r="C31" s="5">
        <f t="shared" ref="C31:Q31" si="33">+C24/C12</f>
        <v>-9.7463002114164921E-2</v>
      </c>
      <c r="D31" s="5">
        <f t="shared" si="33"/>
        <v>-0.13993509686301486</v>
      </c>
      <c r="E31" s="5">
        <f t="shared" si="33"/>
        <v>-0.13511500139677807</v>
      </c>
      <c r="F31" s="5">
        <f t="shared" si="33"/>
        <v>-9.7843024686295299E-2</v>
      </c>
      <c r="G31" s="5">
        <f t="shared" si="33"/>
        <v>-8.3052749719416327E-2</v>
      </c>
      <c r="H31" s="5">
        <f t="shared" si="33"/>
        <v>-7.1000075935909984E-2</v>
      </c>
      <c r="I31" s="5">
        <f t="shared" si="33"/>
        <v>-5.2787192615562056E-2</v>
      </c>
      <c r="J31" s="5">
        <f t="shared" si="33"/>
        <v>2.1283456949367377E-3</v>
      </c>
      <c r="K31" s="5">
        <f t="shared" si="33"/>
        <v>1.2792631444288121E-2</v>
      </c>
      <c r="L31" s="5">
        <f t="shared" si="33"/>
        <v>5.0873059029665803E-2</v>
      </c>
      <c r="M31" s="5">
        <f t="shared" si="33"/>
        <v>6.2641641001801404E-2</v>
      </c>
      <c r="N31" s="5">
        <f t="shared" si="33"/>
        <v>0.11657195515281821</v>
      </c>
      <c r="O31" s="5">
        <f t="shared" si="33"/>
        <v>0.10340237474042917</v>
      </c>
      <c r="P31" s="5">
        <f t="shared" si="33"/>
        <v>0.88446154625082274</v>
      </c>
      <c r="Q31" s="5">
        <f t="shared" si="33"/>
        <v>0.14046755340588465</v>
      </c>
      <c r="T31" s="5">
        <f t="shared" ref="T31:AC31" si="34">+T24/T12</f>
        <v>-0.14259445001671686</v>
      </c>
      <c r="U31" s="5">
        <f t="shared" si="34"/>
        <v>-0.14147182415687973</v>
      </c>
      <c r="V31" s="5">
        <f t="shared" si="34"/>
        <v>-0.13978962640551337</v>
      </c>
      <c r="W31" s="5">
        <f t="shared" si="34"/>
        <v>-0.12295640326975475</v>
      </c>
      <c r="X31" s="5">
        <f t="shared" si="34"/>
        <v>-5.3747361013370888E-2</v>
      </c>
      <c r="Y31" s="5">
        <f t="shared" si="34"/>
        <v>-2.8245275210373809E-2</v>
      </c>
      <c r="Z31" s="5">
        <f t="shared" si="34"/>
        <v>-7.8335876070883839E-2</v>
      </c>
      <c r="AA31" s="5">
        <f t="shared" si="34"/>
        <v>-0.11721999013181067</v>
      </c>
      <c r="AB31" s="5">
        <f t="shared" si="34"/>
        <v>-4.8532218485867522E-2</v>
      </c>
      <c r="AC31" s="5">
        <f t="shared" si="34"/>
        <v>6.379212790343422E-2</v>
      </c>
    </row>
    <row r="32" spans="2:29" s="5" customFormat="1" x14ac:dyDescent="0.2">
      <c r="B32" s="5" t="s">
        <v>26</v>
      </c>
      <c r="C32" s="5">
        <f t="shared" ref="C32:Q32" si="35">+C23/C22</f>
        <v>-0.12029161603888212</v>
      </c>
      <c r="D32" s="5">
        <f t="shared" si="35"/>
        <v>-9.461538461538474E-2</v>
      </c>
      <c r="E32" s="5">
        <f t="shared" si="35"/>
        <v>3.5239361702127665E-2</v>
      </c>
      <c r="F32" s="5">
        <f t="shared" si="35"/>
        <v>-0.16617790811339217</v>
      </c>
      <c r="G32" s="5">
        <f t="shared" si="35"/>
        <v>-0.13596491228070187</v>
      </c>
      <c r="H32" s="5">
        <f t="shared" si="35"/>
        <v>-0.15717821782178243</v>
      </c>
      <c r="I32" s="5">
        <f t="shared" si="35"/>
        <v>-0.39428571428571496</v>
      </c>
      <c r="J32" s="5">
        <f t="shared" si="35"/>
        <v>0.80924855491332237</v>
      </c>
      <c r="K32" s="5">
        <f t="shared" si="35"/>
        <v>0.41860465116279011</v>
      </c>
      <c r="L32" s="5">
        <f t="shared" si="35"/>
        <v>2.3696682464455017E-3</v>
      </c>
      <c r="M32" s="5">
        <f t="shared" si="35"/>
        <v>0.17709923664122129</v>
      </c>
      <c r="N32" s="5">
        <f t="shared" si="35"/>
        <v>0.2805687203791471</v>
      </c>
      <c r="O32" s="5">
        <f t="shared" si="35"/>
        <v>0.31280962491153574</v>
      </c>
      <c r="P32" s="5">
        <f t="shared" si="35"/>
        <v>-11.892250922509234</v>
      </c>
      <c r="Q32" s="5">
        <f t="shared" si="35"/>
        <v>-0.10987261146496824</v>
      </c>
      <c r="T32" s="5">
        <f t="shared" ref="T32:AC32" si="36">+T23/T22</f>
        <v>-5.3086419753086402E-2</v>
      </c>
      <c r="U32" s="5">
        <f t="shared" si="36"/>
        <v>-7.711238720262506E-2</v>
      </c>
      <c r="V32" s="5">
        <f t="shared" si="36"/>
        <v>-0.11839814277423086</v>
      </c>
      <c r="W32" s="5">
        <f t="shared" si="36"/>
        <v>-0.11591962905718704</v>
      </c>
      <c r="X32" s="5">
        <f t="shared" si="36"/>
        <v>-0.16049382716049376</v>
      </c>
      <c r="Y32" s="5">
        <f t="shared" si="36"/>
        <v>-9.7855227882037654E-2</v>
      </c>
      <c r="Z32" s="5">
        <f t="shared" si="36"/>
        <v>-0.15185504745470205</v>
      </c>
      <c r="AA32" s="5">
        <f t="shared" si="36"/>
        <v>-7.2903225806451699E-2</v>
      </c>
      <c r="AB32" s="5">
        <f t="shared" si="36"/>
        <v>-0.28861003861003831</v>
      </c>
      <c r="AC32" s="5">
        <f t="shared" si="36"/>
        <v>0.22355641885926145</v>
      </c>
    </row>
    <row r="33" spans="1:30" s="5" customFormat="1" x14ac:dyDescent="0.2"/>
    <row r="34" spans="1:30" s="6" customFormat="1" x14ac:dyDescent="0.2">
      <c r="B34" s="6" t="s">
        <v>27</v>
      </c>
      <c r="G34" s="6">
        <f>+G12/C12-1</f>
        <v>0.31860465116279069</v>
      </c>
      <c r="H34" s="6">
        <f>+H12/D12-1</f>
        <v>0.29501425902251932</v>
      </c>
      <c r="I34" s="6">
        <f>+I12/E12-1</f>
        <v>0.29127479281124868</v>
      </c>
      <c r="J34" s="6">
        <f>+J12/F12-1</f>
        <v>0.27163126383990766</v>
      </c>
      <c r="K34" s="6">
        <f>+K12/G13-1</f>
        <v>3.1077246452968996</v>
      </c>
      <c r="L34" s="6">
        <f>+L12/H12-1</f>
        <v>0.25681524793074639</v>
      </c>
      <c r="M34" s="6">
        <f>+M12/I12-1</f>
        <v>0.24100382202350912</v>
      </c>
      <c r="N34" s="6">
        <f>+N12/J11-1</f>
        <v>0.70982142857142883</v>
      </c>
      <c r="O34" s="6">
        <f>+O12/K11-1</f>
        <v>0.52270147559591362</v>
      </c>
      <c r="P34" s="6">
        <f>+P12/L12-1</f>
        <v>0.19334179203673507</v>
      </c>
      <c r="Q34" s="6">
        <f>+Q12/M12-1</f>
        <v>0.15334999128363047</v>
      </c>
      <c r="R34" s="6">
        <f>+R12/N12-1</f>
        <v>0.11094045973480782</v>
      </c>
      <c r="T34" s="6" t="e">
        <f t="shared" ref="T34:AD34" si="37">+T12/S12-1</f>
        <v>#DIV/0!</v>
      </c>
      <c r="U34" s="6">
        <f t="shared" si="37"/>
        <v>0.55148779672350368</v>
      </c>
      <c r="V34" s="6">
        <f t="shared" si="37"/>
        <v>0.48529253313220577</v>
      </c>
      <c r="W34" s="6">
        <f t="shared" si="37"/>
        <v>0.27791077257889008</v>
      </c>
      <c r="X34" s="6">
        <f t="shared" si="37"/>
        <v>0.29064486830154412</v>
      </c>
      <c r="Y34" s="6">
        <f t="shared" si="37"/>
        <v>0.27533427163969049</v>
      </c>
      <c r="Z34" s="6">
        <f t="shared" si="37"/>
        <v>0.1754724789626152</v>
      </c>
      <c r="AA34" s="6">
        <f t="shared" si="37"/>
        <v>0.24870907170519918</v>
      </c>
      <c r="AB34" s="6">
        <f t="shared" si="37"/>
        <v>0.29261530509151568</v>
      </c>
      <c r="AC34" s="6">
        <f t="shared" si="37"/>
        <v>0.25287648823048281</v>
      </c>
      <c r="AD34" s="6">
        <f t="shared" si="37"/>
        <v>0.16180887025403679</v>
      </c>
    </row>
    <row r="36" spans="1:30" x14ac:dyDescent="0.2">
      <c r="B36" s="5" t="s">
        <v>44</v>
      </c>
      <c r="O36" s="1">
        <f>+O37-O52</f>
        <v>4936.0000000000009</v>
      </c>
      <c r="P36" s="1">
        <f>+P37-P52</f>
        <v>5168.8</v>
      </c>
      <c r="Q36" s="1">
        <f>+Q37-Q52</f>
        <v>5232.3</v>
      </c>
    </row>
    <row r="37" spans="1:30" x14ac:dyDescent="0.2">
      <c r="B37" s="5" t="s">
        <v>3</v>
      </c>
      <c r="O37" s="1">
        <f>2491.4+1402.4+2988.9</f>
        <v>6882.7000000000007</v>
      </c>
      <c r="P37" s="1">
        <f>1782.5+1588.5+3619.6</f>
        <v>6990.6</v>
      </c>
      <c r="Q37" s="1">
        <f>1373.7+1516.7+3504.4</f>
        <v>6394.8</v>
      </c>
    </row>
    <row r="38" spans="1:30" x14ac:dyDescent="0.2">
      <c r="B38" s="5" t="s">
        <v>45</v>
      </c>
      <c r="O38" s="1">
        <v>1413</v>
      </c>
      <c r="P38" s="1">
        <v>1896.3</v>
      </c>
      <c r="Q38" s="1">
        <v>1715.4</v>
      </c>
    </row>
    <row r="39" spans="1:30" x14ac:dyDescent="0.2">
      <c r="B39" s="5" t="s">
        <v>46</v>
      </c>
      <c r="O39" s="1">
        <f>445.9+639.8</f>
        <v>1085.6999999999998</v>
      </c>
      <c r="P39" s="1">
        <f>445.5+639.9</f>
        <v>1085.4000000000001</v>
      </c>
      <c r="Q39" s="1">
        <f>572.3+882.5</f>
        <v>1454.8</v>
      </c>
    </row>
    <row r="40" spans="1:30" x14ac:dyDescent="0.2">
      <c r="B40" s="5" t="s">
        <v>47</v>
      </c>
      <c r="O40" s="1">
        <f>328.7+515.4</f>
        <v>844.09999999999991</v>
      </c>
      <c r="P40" s="1">
        <f>328+504.6</f>
        <v>832.6</v>
      </c>
      <c r="Q40" s="1">
        <f>337+511.2</f>
        <v>848.2</v>
      </c>
    </row>
    <row r="41" spans="1:30" x14ac:dyDescent="0.2">
      <c r="B41" s="5" t="s">
        <v>48</v>
      </c>
      <c r="O41" s="1">
        <v>396.2</v>
      </c>
      <c r="P41" s="1">
        <v>405.9</v>
      </c>
      <c r="Q41" s="1">
        <v>403.7</v>
      </c>
    </row>
    <row r="42" spans="1:30" x14ac:dyDescent="0.2">
      <c r="B42" s="5" t="s">
        <v>49</v>
      </c>
      <c r="O42" s="1">
        <v>352.6</v>
      </c>
      <c r="P42" s="1">
        <v>352.3</v>
      </c>
      <c r="Q42" s="1">
        <v>350.3</v>
      </c>
    </row>
    <row r="43" spans="1:30" x14ac:dyDescent="0.2">
      <c r="B43" s="5" t="s">
        <v>50</v>
      </c>
      <c r="O43" s="1">
        <v>274.3</v>
      </c>
      <c r="P43" s="1">
        <v>355.8</v>
      </c>
      <c r="Q43" s="1">
        <v>369.7</v>
      </c>
    </row>
    <row r="44" spans="1:30" x14ac:dyDescent="0.2">
      <c r="B44" s="5" t="s">
        <v>51</v>
      </c>
      <c r="O44" s="1">
        <f>2926.8+290.5</f>
        <v>3217.3</v>
      </c>
      <c r="P44" s="1">
        <f>3372.7+440.1</f>
        <v>3812.7999999999997</v>
      </c>
      <c r="Q44" s="1">
        <f>3372.7+407.9</f>
        <v>3780.6</v>
      </c>
    </row>
    <row r="45" spans="1:30" x14ac:dyDescent="0.2">
      <c r="B45" s="5" t="s">
        <v>52</v>
      </c>
      <c r="O45" s="1">
        <v>0</v>
      </c>
      <c r="P45" s="1">
        <v>2234.3000000000002</v>
      </c>
      <c r="Q45" s="1">
        <v>2291.9</v>
      </c>
    </row>
    <row r="46" spans="1:30" x14ac:dyDescent="0.2">
      <c r="B46" s="5" t="s">
        <v>53</v>
      </c>
      <c r="O46" s="1">
        <v>342.6</v>
      </c>
      <c r="P46" s="1">
        <v>326</v>
      </c>
      <c r="Q46" s="1">
        <v>321.39999999999998</v>
      </c>
    </row>
    <row r="47" spans="1:30" s="4" customFormat="1" x14ac:dyDescent="0.2">
      <c r="A47" s="3"/>
      <c r="B47" s="6" t="s">
        <v>54</v>
      </c>
      <c r="O47" s="4">
        <f>+SUM(O37:O46)</f>
        <v>14808.500000000002</v>
      </c>
      <c r="P47" s="4">
        <f>+SUM(P37:P46)</f>
        <v>18291.999999999996</v>
      </c>
      <c r="Q47" s="4">
        <f>+SUM(Q37:Q46)</f>
        <v>17930.800000000003</v>
      </c>
    </row>
    <row r="48" spans="1:30" x14ac:dyDescent="0.2">
      <c r="B48" s="5" t="s">
        <v>55</v>
      </c>
      <c r="O48" s="1">
        <v>131.80000000000001</v>
      </c>
      <c r="P48" s="1">
        <v>178.8</v>
      </c>
      <c r="Q48" s="1">
        <v>108.9</v>
      </c>
    </row>
    <row r="49" spans="1:17" x14ac:dyDescent="0.2">
      <c r="B49" s="5" t="s">
        <v>56</v>
      </c>
      <c r="O49" s="1">
        <v>331.4</v>
      </c>
      <c r="P49" s="1">
        <v>452.6</v>
      </c>
      <c r="Q49" s="1">
        <v>385.9</v>
      </c>
    </row>
    <row r="50" spans="1:17" x14ac:dyDescent="0.2">
      <c r="B50" s="5" t="s">
        <v>57</v>
      </c>
      <c r="O50" s="1">
        <v>371.5</v>
      </c>
      <c r="P50" s="1">
        <v>394.2</v>
      </c>
      <c r="Q50" s="1">
        <v>412.6</v>
      </c>
    </row>
    <row r="51" spans="1:17" x14ac:dyDescent="0.2">
      <c r="B51" s="5" t="s">
        <v>58</v>
      </c>
      <c r="O51" s="1">
        <f>4732+4710.8</f>
        <v>9442.7999999999993</v>
      </c>
      <c r="P51" s="1">
        <f>4918.1+4900.3</f>
        <v>9818.4000000000015</v>
      </c>
      <c r="Q51" s="1">
        <f>5014.9+5152.7</f>
        <v>10167.599999999999</v>
      </c>
    </row>
    <row r="52" spans="1:17" x14ac:dyDescent="0.2">
      <c r="B52" s="5" t="s">
        <v>4</v>
      </c>
      <c r="O52" s="1">
        <v>1946.7</v>
      </c>
      <c r="P52" s="1">
        <v>1821.8</v>
      </c>
      <c r="Q52" s="1">
        <v>1162.5</v>
      </c>
    </row>
    <row r="53" spans="1:17" x14ac:dyDescent="0.2">
      <c r="B53" s="5" t="s">
        <v>52</v>
      </c>
      <c r="O53" s="1">
        <v>0</v>
      </c>
      <c r="P53" s="1">
        <v>588.5</v>
      </c>
      <c r="Q53" s="1">
        <v>503</v>
      </c>
    </row>
    <row r="54" spans="1:17" x14ac:dyDescent="0.2">
      <c r="B54" s="5" t="s">
        <v>50</v>
      </c>
      <c r="O54" s="1">
        <v>275.8</v>
      </c>
      <c r="P54" s="1">
        <v>362.7</v>
      </c>
      <c r="Q54" s="1">
        <v>369.8</v>
      </c>
    </row>
    <row r="55" spans="1:17" x14ac:dyDescent="0.2">
      <c r="B55" s="5" t="s">
        <v>53</v>
      </c>
      <c r="O55" s="1">
        <v>138</v>
      </c>
      <c r="P55" s="1">
        <v>317.8</v>
      </c>
      <c r="Q55" s="1">
        <v>352.7</v>
      </c>
    </row>
    <row r="56" spans="1:17" s="4" customFormat="1" x14ac:dyDescent="0.2">
      <c r="A56" s="3"/>
      <c r="B56" s="6" t="s">
        <v>59</v>
      </c>
      <c r="O56" s="4">
        <f>+SUM(O48:O55)</f>
        <v>12638</v>
      </c>
      <c r="P56" s="4">
        <f>+SUM(P48:P55)</f>
        <v>13934.800000000001</v>
      </c>
      <c r="Q56" s="4">
        <f>+SUM(Q48:Q55)</f>
        <v>13462.999999999998</v>
      </c>
    </row>
    <row r="57" spans="1:17" x14ac:dyDescent="0.2">
      <c r="B57" s="5" t="s">
        <v>60</v>
      </c>
      <c r="O57" s="1">
        <v>2170.5</v>
      </c>
      <c r="P57" s="1">
        <v>4357.2</v>
      </c>
      <c r="Q57" s="1">
        <v>4467.8</v>
      </c>
    </row>
    <row r="58" spans="1:17" x14ac:dyDescent="0.2">
      <c r="B58" s="5" t="s">
        <v>61</v>
      </c>
      <c r="O58" s="1">
        <f>+O57+O56</f>
        <v>14808.5</v>
      </c>
      <c r="P58" s="1">
        <f>+P57+P56</f>
        <v>18292</v>
      </c>
      <c r="Q58" s="1">
        <f>+Q57+Q56</f>
        <v>17930.8</v>
      </c>
    </row>
    <row r="60" spans="1:17" x14ac:dyDescent="0.2">
      <c r="B60" s="5" t="s">
        <v>62</v>
      </c>
      <c r="O60" s="1">
        <f>+SUM(L24:O24)</f>
        <v>613.89999999999975</v>
      </c>
      <c r="P60" s="1">
        <f>+SUM(M24:P24)</f>
        <v>2276.6</v>
      </c>
      <c r="Q60" s="1">
        <f>+SUM(N24:Q24)</f>
        <v>2447.5999999999995</v>
      </c>
    </row>
    <row r="61" spans="1:17" s="5" customFormat="1" x14ac:dyDescent="0.2">
      <c r="B61" s="5" t="s">
        <v>63</v>
      </c>
      <c r="O61" s="5">
        <f>+O60/(O38+O39+O40+O41+O42+O43+O45+O46)</f>
        <v>0.1303812254433471</v>
      </c>
      <c r="P61" s="5">
        <f>+P60/(P38+P39+P40+P41+P42+P43+P45+P46)</f>
        <v>0.30400875998183902</v>
      </c>
      <c r="Q61" s="5">
        <f>+Q60/(Q38+Q39+Q40+Q41+Q42+Q43+Q45+Q46)</f>
        <v>0.31559945328416322</v>
      </c>
    </row>
    <row r="63" spans="1:17" x14ac:dyDescent="0.2">
      <c r="B63" s="5" t="s">
        <v>65</v>
      </c>
      <c r="O63" s="1">
        <f>+O24</f>
        <v>194.20000000000002</v>
      </c>
      <c r="P63" s="1">
        <f>+P24</f>
        <v>1746.9</v>
      </c>
      <c r="Q63" s="1">
        <f>+Q24</f>
        <v>278.79999999999984</v>
      </c>
    </row>
    <row r="64" spans="1:17" x14ac:dyDescent="0.2">
      <c r="B64" s="5" t="s">
        <v>66</v>
      </c>
      <c r="O64" s="1">
        <v>194.2</v>
      </c>
      <c r="P64" s="1">
        <f>1941.1-O64</f>
        <v>1746.8999999999999</v>
      </c>
      <c r="Q64" s="1">
        <f>2219.9-SUM(O64:P64)</f>
        <v>278.80000000000018</v>
      </c>
    </row>
    <row r="65" spans="1:17" x14ac:dyDescent="0.2">
      <c r="B65" s="5" t="s">
        <v>67</v>
      </c>
      <c r="O65" s="1">
        <v>271</v>
      </c>
      <c r="P65" s="1">
        <f>543-O65</f>
        <v>272</v>
      </c>
      <c r="Q65" s="1">
        <f>806.5-SUM(O65:P65)</f>
        <v>263.5</v>
      </c>
    </row>
    <row r="66" spans="1:17" x14ac:dyDescent="0.2">
      <c r="B66" s="5" t="s">
        <v>52</v>
      </c>
      <c r="O66" s="1">
        <v>0</v>
      </c>
      <c r="P66" s="1">
        <f>-1691.3+O66</f>
        <v>-1691.3</v>
      </c>
      <c r="Q66" s="1">
        <f>-1818.3-SUM(O66:P66)</f>
        <v>-127</v>
      </c>
    </row>
    <row r="67" spans="1:17" x14ac:dyDescent="0.2">
      <c r="B67" s="5" t="s">
        <v>68</v>
      </c>
      <c r="O67" s="1">
        <v>64.3</v>
      </c>
      <c r="P67" s="1">
        <f>132.9-O67</f>
        <v>68.600000000000009</v>
      </c>
      <c r="Q67" s="1">
        <f>207.2-SUM(O67:P67)</f>
        <v>74.299999999999983</v>
      </c>
    </row>
    <row r="68" spans="1:17" x14ac:dyDescent="0.2">
      <c r="B68" s="5" t="s">
        <v>69</v>
      </c>
      <c r="O68" s="1">
        <v>105.5</v>
      </c>
      <c r="P68" s="1">
        <f>214.4-O68</f>
        <v>108.9</v>
      </c>
      <c r="Q68" s="1">
        <f>324.7-SUM(O68:P68)</f>
        <v>110.29999999999998</v>
      </c>
    </row>
    <row r="69" spans="1:17" x14ac:dyDescent="0.2">
      <c r="B69" s="5" t="s">
        <v>70</v>
      </c>
      <c r="O69" s="1">
        <v>1</v>
      </c>
      <c r="P69" s="1">
        <f>2.1-O69</f>
        <v>1.1000000000000001</v>
      </c>
      <c r="Q69" s="1">
        <f>2.9-SUM(O69:P69)</f>
        <v>0.79999999999999982</v>
      </c>
    </row>
    <row r="70" spans="1:17" x14ac:dyDescent="0.2">
      <c r="B70" s="5" t="s">
        <v>50</v>
      </c>
      <c r="O70" s="1">
        <v>12.4</v>
      </c>
      <c r="P70" s="1">
        <f>26.1-O70</f>
        <v>13.700000000000001</v>
      </c>
      <c r="Q70" s="1">
        <f>40.7-SUM(O70:P70)</f>
        <v>14.600000000000001</v>
      </c>
    </row>
    <row r="71" spans="1:17" x14ac:dyDescent="0.2">
      <c r="B71" s="5" t="s">
        <v>71</v>
      </c>
      <c r="O71" s="1">
        <v>-14.7</v>
      </c>
      <c r="P71" s="1">
        <f>-30.9-O71</f>
        <v>-16.2</v>
      </c>
      <c r="Q71" s="1">
        <f>-46.5-SUM(O71:P71)</f>
        <v>-15.600000000000001</v>
      </c>
    </row>
    <row r="72" spans="1:17" x14ac:dyDescent="0.2">
      <c r="B72" s="5" t="s">
        <v>58</v>
      </c>
      <c r="O72" s="1">
        <v>146.4</v>
      </c>
      <c r="P72" s="1">
        <f>518.5-O72</f>
        <v>372.1</v>
      </c>
      <c r="Q72" s="1">
        <f>867.7-SUM(O72:P72)</f>
        <v>349.20000000000005</v>
      </c>
    </row>
    <row r="73" spans="1:17" x14ac:dyDescent="0.2">
      <c r="B73" s="5" t="s">
        <v>72</v>
      </c>
      <c r="O73" s="1">
        <f>1050.2-43.6-63.3+54-0.4-216.9-34.1</f>
        <v>745.90000000000009</v>
      </c>
      <c r="P73" s="1">
        <f>568-43.3-159.3+45.9+47.3-98.3+199.8-O73</f>
        <v>-185.80000000000007</v>
      </c>
      <c r="Q73" s="1">
        <f>748.9-412.7-285.2+47.2-20.5-165+227.4-SUM(O73:P73)</f>
        <v>-420</v>
      </c>
    </row>
    <row r="74" spans="1:17" s="4" customFormat="1" x14ac:dyDescent="0.2">
      <c r="A74" s="3"/>
      <c r="B74" s="6" t="s">
        <v>73</v>
      </c>
      <c r="O74" s="4">
        <f>+SUM(O64:O73)</f>
        <v>1526</v>
      </c>
      <c r="P74" s="4">
        <f>+SUM(P64:P73)</f>
        <v>689.99999999999989</v>
      </c>
      <c r="Q74" s="4">
        <f>+SUM(Q64:Q73)</f>
        <v>528.90000000000009</v>
      </c>
    </row>
    <row r="76" spans="1:17" x14ac:dyDescent="0.2">
      <c r="B76" s="5" t="s">
        <v>74</v>
      </c>
      <c r="O76" s="1">
        <f>-854.7+304.6+457.9</f>
        <v>-92.200000000000045</v>
      </c>
      <c r="P76" s="1">
        <f>-2011.4+431.2+808.3-O76</f>
        <v>-679.7</v>
      </c>
      <c r="Q76" s="1">
        <f>-2486.5+500.8+1364.3-SUM(O76:P76)</f>
        <v>150.5</v>
      </c>
    </row>
    <row r="77" spans="1:17" x14ac:dyDescent="0.2">
      <c r="B77" s="5" t="s">
        <v>85</v>
      </c>
      <c r="O77" s="1">
        <v>0</v>
      </c>
      <c r="P77" s="1">
        <v>-610.6</v>
      </c>
      <c r="Q77" s="1">
        <f>-610.6-SUM(O77:P77)</f>
        <v>0</v>
      </c>
    </row>
    <row r="78" spans="1:17" x14ac:dyDescent="0.2">
      <c r="B78" s="5" t="s">
        <v>75</v>
      </c>
      <c r="O78" s="1">
        <v>-36.799999999999997</v>
      </c>
      <c r="P78" s="1">
        <f>-72-O78</f>
        <v>-35.200000000000003</v>
      </c>
      <c r="Q78" s="1">
        <f>-109.4-SUM(O78:P78)</f>
        <v>-37.400000000000006</v>
      </c>
    </row>
    <row r="79" spans="1:17" x14ac:dyDescent="0.2">
      <c r="B79" s="5" t="s">
        <v>76</v>
      </c>
      <c r="O79" s="1">
        <f>+SUM(O76:O78)</f>
        <v>-129.00000000000006</v>
      </c>
      <c r="P79" s="1">
        <f>+SUM(P76:P78)</f>
        <v>-1325.5000000000002</v>
      </c>
      <c r="Q79" s="1">
        <f>+SUM(Q76:Q78)</f>
        <v>113.1</v>
      </c>
    </row>
    <row r="81" spans="2:17" x14ac:dyDescent="0.2">
      <c r="B81" s="5" t="s">
        <v>77</v>
      </c>
      <c r="O81" s="1">
        <v>-46</v>
      </c>
      <c r="P81" s="1">
        <f>-172.3-O81</f>
        <v>-126.30000000000001</v>
      </c>
      <c r="Q81" s="1">
        <f>-834.1-SUM(O81:P81)</f>
        <v>-661.8</v>
      </c>
    </row>
    <row r="82" spans="2:17" x14ac:dyDescent="0.2">
      <c r="B82" s="5" t="s">
        <v>78</v>
      </c>
      <c r="O82" s="1">
        <v>-66.7</v>
      </c>
      <c r="P82" s="1">
        <f>-66.7-O82</f>
        <v>0</v>
      </c>
      <c r="Q82" s="1">
        <f>-566.7-SUM(O82:P82)</f>
        <v>-500.00000000000006</v>
      </c>
    </row>
    <row r="83" spans="2:17" x14ac:dyDescent="0.2">
      <c r="B83" s="5" t="s">
        <v>79</v>
      </c>
      <c r="O83" s="1">
        <v>86.4</v>
      </c>
      <c r="P83" s="1">
        <f>143.9-O83</f>
        <v>57.5</v>
      </c>
      <c r="Q83" s="1">
        <f>259.7-SUM(O83:P83)</f>
        <v>115.79999999999998</v>
      </c>
    </row>
    <row r="84" spans="2:17" x14ac:dyDescent="0.2">
      <c r="B84" s="5" t="s">
        <v>80</v>
      </c>
      <c r="O84" s="1">
        <v>-15.5</v>
      </c>
      <c r="P84" s="1">
        <f>-19.3-O84</f>
        <v>-3.8000000000000007</v>
      </c>
      <c r="Q84" s="1">
        <f>-17.5-SUM(O84:P84)</f>
        <v>1.8000000000000007</v>
      </c>
    </row>
    <row r="85" spans="2:17" x14ac:dyDescent="0.2">
      <c r="B85" s="5" t="s">
        <v>81</v>
      </c>
      <c r="O85" s="1">
        <f>+SUM(O81:O84)</f>
        <v>-41.8</v>
      </c>
      <c r="P85" s="1">
        <f>+SUM(P81:P84)</f>
        <v>-72.600000000000009</v>
      </c>
      <c r="Q85" s="1">
        <f>+SUM(Q81:Q84)</f>
        <v>-1044.2</v>
      </c>
    </row>
    <row r="86" spans="2:17" x14ac:dyDescent="0.2">
      <c r="B86" s="5" t="s">
        <v>82</v>
      </c>
      <c r="O86" s="1">
        <f>+O74+O79+O85</f>
        <v>1355.2</v>
      </c>
      <c r="P86" s="1">
        <f>+P74+P79+P85</f>
        <v>-708.10000000000036</v>
      </c>
      <c r="Q86" s="1">
        <f>+Q74+Q79+Q85</f>
        <v>-402.19999999999993</v>
      </c>
    </row>
    <row r="88" spans="2:17" x14ac:dyDescent="0.2">
      <c r="B88" s="5" t="s">
        <v>83</v>
      </c>
      <c r="O88" s="1">
        <f>+O74+O78-O65</f>
        <v>1218.2</v>
      </c>
      <c r="P88" s="1">
        <f>+P74+P78-P65</f>
        <v>382.79999999999984</v>
      </c>
      <c r="Q88" s="1">
        <f>+Q74+Q78-Q65</f>
        <v>228.00000000000011</v>
      </c>
    </row>
    <row r="90" spans="2:17" x14ac:dyDescent="0.2">
      <c r="B90" s="5" t="s">
        <v>84</v>
      </c>
    </row>
    <row r="94" spans="2:17" x14ac:dyDescent="0.2">
      <c r="M94" s="8"/>
      <c r="N94" s="5"/>
      <c r="O94" s="8"/>
      <c r="P94" s="8"/>
      <c r="Q94" s="8"/>
    </row>
    <row r="95" spans="2:17" x14ac:dyDescent="0.2">
      <c r="M95" s="8"/>
      <c r="N95" s="5"/>
      <c r="O95" s="8"/>
      <c r="P95" s="5"/>
      <c r="Q95" s="8"/>
    </row>
    <row r="96" spans="2:17" x14ac:dyDescent="0.2">
      <c r="K96" s="8"/>
      <c r="N96" s="8"/>
    </row>
    <row r="97" spans="11:14" x14ac:dyDescent="0.2">
      <c r="K97" s="8"/>
      <c r="L97" s="5"/>
      <c r="N97" s="8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2024-07-12T18:15:28Z</dcterms:created>
  <dcterms:modified xsi:type="dcterms:W3CDTF">2024-07-15T12:04:56Z</dcterms:modified>
</cp:coreProperties>
</file>