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nni\Desktop\CompanyResearchModels\"/>
    </mc:Choice>
  </mc:AlternateContent>
  <xr:revisionPtr revIDLastSave="0" documentId="8_{5C2BDF6D-1F72-4661-955A-BD99013C010D}" xr6:coauthVersionLast="47" xr6:coauthVersionMax="47" xr10:uidLastSave="{00000000-0000-0000-0000-000000000000}"/>
  <bookViews>
    <workbookView xWindow="105" yWindow="75" windowWidth="14070" windowHeight="15450" activeTab="1" xr2:uid="{A6C6E0A2-A808-4ABA-82F8-242BFBF4A917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" i="2" l="1"/>
  <c r="V3" i="2" s="1"/>
  <c r="W3" i="2" s="1"/>
  <c r="X3" i="2" s="1"/>
  <c r="Y3" i="2" s="1"/>
  <c r="Z3" i="2" s="1"/>
  <c r="AA3" i="2" s="1"/>
  <c r="AB3" i="2" s="1"/>
  <c r="AC3" i="2" s="1"/>
  <c r="AD3" i="2" s="1"/>
  <c r="AE3" i="2" s="1"/>
  <c r="AF3" i="2" s="1"/>
  <c r="AG3" i="2" s="1"/>
  <c r="AH3" i="2" s="1"/>
  <c r="V77" i="2"/>
  <c r="W77" i="2"/>
  <c r="R61" i="2"/>
  <c r="N69" i="2"/>
  <c r="N73" i="2" s="1"/>
  <c r="N65" i="2"/>
  <c r="N62" i="2"/>
  <c r="N58" i="2"/>
  <c r="N56" i="2"/>
  <c r="N42" i="2"/>
  <c r="N41" i="2"/>
  <c r="N46" i="2" s="1"/>
  <c r="N48" i="2" s="1"/>
  <c r="N40" i="2"/>
  <c r="N35" i="2"/>
  <c r="N31" i="2"/>
  <c r="N28" i="2"/>
  <c r="N27" i="2" s="1"/>
  <c r="J25" i="2"/>
  <c r="J11" i="2"/>
  <c r="J6" i="2"/>
  <c r="J8" i="2" s="1"/>
  <c r="N25" i="2"/>
  <c r="N11" i="2"/>
  <c r="N6" i="2"/>
  <c r="N8" i="2" s="1"/>
  <c r="Q74" i="2"/>
  <c r="Q71" i="2"/>
  <c r="Q57" i="2"/>
  <c r="Q56" i="2"/>
  <c r="P74" i="2"/>
  <c r="P72" i="2"/>
  <c r="Q72" i="2" s="1"/>
  <c r="P71" i="2"/>
  <c r="P70" i="2"/>
  <c r="Q70" i="2" s="1"/>
  <c r="P69" i="2"/>
  <c r="Q69" i="2" s="1"/>
  <c r="P65" i="2"/>
  <c r="Q65" i="2" s="1"/>
  <c r="P64" i="2"/>
  <c r="Q64" i="2" s="1"/>
  <c r="P63" i="2"/>
  <c r="Q63" i="2" s="1"/>
  <c r="P61" i="2"/>
  <c r="P57" i="2"/>
  <c r="P55" i="2"/>
  <c r="Q55" i="2" s="1"/>
  <c r="P54" i="2"/>
  <c r="Q54" i="2" s="1"/>
  <c r="P53" i="2"/>
  <c r="Q53" i="2" s="1"/>
  <c r="P52" i="2"/>
  <c r="Q52" i="2" s="1"/>
  <c r="P51" i="2"/>
  <c r="Q51" i="2" s="1"/>
  <c r="P41" i="2"/>
  <c r="P40" i="2"/>
  <c r="P35" i="2"/>
  <c r="P28" i="2"/>
  <c r="P37" i="2" s="1"/>
  <c r="L25" i="2"/>
  <c r="L11" i="2"/>
  <c r="L6" i="2"/>
  <c r="L8" i="2" s="1"/>
  <c r="P25" i="2"/>
  <c r="P11" i="2"/>
  <c r="P6" i="2"/>
  <c r="P8" i="2" s="1"/>
  <c r="O73" i="2"/>
  <c r="O62" i="2"/>
  <c r="O66" i="2" s="1"/>
  <c r="O58" i="2"/>
  <c r="P58" i="2" s="1"/>
  <c r="Q58" i="2" s="1"/>
  <c r="Q46" i="2"/>
  <c r="Q48" i="2" s="1"/>
  <c r="O32" i="2"/>
  <c r="Q32" i="2"/>
  <c r="O43" i="2"/>
  <c r="Q43" i="2"/>
  <c r="O42" i="2"/>
  <c r="O41" i="2"/>
  <c r="O40" i="2"/>
  <c r="O46" i="2" s="1"/>
  <c r="O48" i="2" s="1"/>
  <c r="O35" i="2"/>
  <c r="O31" i="2"/>
  <c r="O28" i="2"/>
  <c r="K25" i="2"/>
  <c r="K11" i="2"/>
  <c r="K6" i="2"/>
  <c r="K8" i="2" s="1"/>
  <c r="O25" i="2"/>
  <c r="O11" i="2"/>
  <c r="O6" i="2"/>
  <c r="O8" i="2" s="1"/>
  <c r="Q41" i="2"/>
  <c r="Q40" i="2"/>
  <c r="Q35" i="2"/>
  <c r="Q28" i="2"/>
  <c r="Q27" i="2" s="1"/>
  <c r="M25" i="2"/>
  <c r="M11" i="2"/>
  <c r="M6" i="2"/>
  <c r="M8" i="2" s="1"/>
  <c r="Q25" i="2"/>
  <c r="Q11" i="2"/>
  <c r="Q6" i="2"/>
  <c r="Q8" i="2" s="1"/>
  <c r="L6" i="1"/>
  <c r="L5" i="1"/>
  <c r="L4" i="1"/>
  <c r="L7" i="1" s="1"/>
  <c r="N59" i="2" l="1"/>
  <c r="R59" i="2" s="1"/>
  <c r="Q73" i="2"/>
  <c r="N37" i="2"/>
  <c r="O37" i="2"/>
  <c r="Q59" i="2"/>
  <c r="P73" i="2"/>
  <c r="O59" i="2"/>
  <c r="Q61" i="2"/>
  <c r="P59" i="2"/>
  <c r="P27" i="2"/>
  <c r="P62" i="2"/>
  <c r="Q62" i="2" s="1"/>
  <c r="Q37" i="2"/>
  <c r="P66" i="2"/>
  <c r="N66" i="2"/>
  <c r="J20" i="2"/>
  <c r="J12" i="2"/>
  <c r="N20" i="2"/>
  <c r="N12" i="2"/>
  <c r="P46" i="2"/>
  <c r="P48" i="2" s="1"/>
  <c r="L20" i="2"/>
  <c r="L12" i="2"/>
  <c r="P20" i="2"/>
  <c r="P12" i="2"/>
  <c r="Q20" i="2"/>
  <c r="Q12" i="2"/>
  <c r="O27" i="2"/>
  <c r="K20" i="2"/>
  <c r="K12" i="2"/>
  <c r="O12" i="2"/>
  <c r="O20" i="2"/>
  <c r="M12" i="2"/>
  <c r="M20" i="2"/>
  <c r="N77" i="2" l="1"/>
  <c r="N75" i="2"/>
  <c r="Q66" i="2"/>
  <c r="Q75" i="2" s="1"/>
  <c r="O77" i="2"/>
  <c r="O75" i="2"/>
  <c r="X59" i="2"/>
  <c r="X61" i="2"/>
  <c r="P77" i="2"/>
  <c r="P75" i="2"/>
  <c r="Q77" i="2"/>
  <c r="J21" i="2"/>
  <c r="J14" i="2"/>
  <c r="N14" i="2"/>
  <c r="N21" i="2"/>
  <c r="L21" i="2"/>
  <c r="L14" i="2"/>
  <c r="P21" i="2"/>
  <c r="P14" i="2"/>
  <c r="Q21" i="2"/>
  <c r="Q14" i="2"/>
  <c r="K21" i="2"/>
  <c r="K14" i="2"/>
  <c r="O21" i="2"/>
  <c r="O14" i="2"/>
  <c r="M14" i="2"/>
  <c r="M21" i="2"/>
  <c r="X77" i="2" l="1"/>
  <c r="J23" i="2"/>
  <c r="J16" i="2"/>
  <c r="N23" i="2"/>
  <c r="N16" i="2"/>
  <c r="N50" i="2" s="1"/>
  <c r="L23" i="2"/>
  <c r="L16" i="2"/>
  <c r="P23" i="2"/>
  <c r="P16" i="2"/>
  <c r="P50" i="2" s="1"/>
  <c r="Q23" i="2"/>
  <c r="Q16" i="2"/>
  <c r="Q50" i="2" s="1"/>
  <c r="K23" i="2"/>
  <c r="K16" i="2"/>
  <c r="O23" i="2"/>
  <c r="O16" i="2"/>
  <c r="O50" i="2" s="1"/>
  <c r="M23" i="2"/>
  <c r="M16" i="2"/>
  <c r="J22" i="2" l="1"/>
  <c r="J17" i="2"/>
  <c r="N17" i="2"/>
  <c r="N22" i="2"/>
  <c r="L22" i="2"/>
  <c r="L17" i="2"/>
  <c r="P22" i="2"/>
  <c r="P17" i="2"/>
  <c r="Q22" i="2"/>
  <c r="Q17" i="2"/>
  <c r="K17" i="2"/>
  <c r="K22" i="2"/>
  <c r="O22" i="2"/>
  <c r="O17" i="2"/>
  <c r="M17" i="2"/>
  <c r="M22" i="2"/>
</calcChain>
</file>

<file path=xl/sharedStrings.xml><?xml version="1.0" encoding="utf-8"?>
<sst xmlns="http://schemas.openxmlformats.org/spreadsheetml/2006/main" count="95" uniqueCount="84">
  <si>
    <t>Qualcomm</t>
  </si>
  <si>
    <t>(QCOM)</t>
  </si>
  <si>
    <t>Q121</t>
  </si>
  <si>
    <t>Q221</t>
  </si>
  <si>
    <t>Q321</t>
  </si>
  <si>
    <t>Q421</t>
  </si>
  <si>
    <t>Q122</t>
  </si>
  <si>
    <t>Q222</t>
  </si>
  <si>
    <t>Q322</t>
  </si>
  <si>
    <t>Q422</t>
  </si>
  <si>
    <t>Q123</t>
  </si>
  <si>
    <t>Q223</t>
  </si>
  <si>
    <t>Q323</t>
  </si>
  <si>
    <t>Q423</t>
  </si>
  <si>
    <t>Q124</t>
  </si>
  <si>
    <t>Q224</t>
  </si>
  <si>
    <t>Q324</t>
  </si>
  <si>
    <t>Q424</t>
  </si>
  <si>
    <t>Revenue</t>
  </si>
  <si>
    <t>Price</t>
  </si>
  <si>
    <t>Shares</t>
  </si>
  <si>
    <t>MC</t>
  </si>
  <si>
    <t>Cash</t>
  </si>
  <si>
    <t>Debt</t>
  </si>
  <si>
    <t>EV</t>
  </si>
  <si>
    <t>Equipment &amp; services</t>
  </si>
  <si>
    <t>Licensing</t>
  </si>
  <si>
    <t>COGS</t>
  </si>
  <si>
    <t>Gross profit</t>
  </si>
  <si>
    <t>R&amp;D</t>
  </si>
  <si>
    <t>SG&amp;A</t>
  </si>
  <si>
    <t>OpEx</t>
  </si>
  <si>
    <t>OpInc</t>
  </si>
  <si>
    <t>Interest expense</t>
  </si>
  <si>
    <t>Pretax</t>
  </si>
  <si>
    <t>Taxes</t>
  </si>
  <si>
    <t>Net income</t>
  </si>
  <si>
    <t>EPS</t>
  </si>
  <si>
    <t>Gross margin</t>
  </si>
  <si>
    <t>Operating margin</t>
  </si>
  <si>
    <t>Net margin</t>
  </si>
  <si>
    <t>Tax rate</t>
  </si>
  <si>
    <t>Revenue y/y</t>
  </si>
  <si>
    <t>Net cash</t>
  </si>
  <si>
    <t>A/R</t>
  </si>
  <si>
    <t>Inventories</t>
  </si>
  <si>
    <t>Other</t>
  </si>
  <si>
    <t>DT</t>
  </si>
  <si>
    <t>PP&amp;E</t>
  </si>
  <si>
    <t>Goodwill</t>
  </si>
  <si>
    <t>Assets</t>
  </si>
  <si>
    <t>A/P</t>
  </si>
  <si>
    <t>Payroll</t>
  </si>
  <si>
    <t>Liabilties</t>
  </si>
  <si>
    <t>S/E</t>
  </si>
  <si>
    <t>L+S/E</t>
  </si>
  <si>
    <t>Model NI</t>
  </si>
  <si>
    <t>Reported NI</t>
  </si>
  <si>
    <t>OA</t>
  </si>
  <si>
    <t>OL</t>
  </si>
  <si>
    <t>DR</t>
  </si>
  <si>
    <t>Held</t>
  </si>
  <si>
    <t>OCA</t>
  </si>
  <si>
    <t>OCL</t>
  </si>
  <si>
    <t>D&amp;A</t>
  </si>
  <si>
    <t>SBC</t>
  </si>
  <si>
    <t>Gains</t>
  </si>
  <si>
    <t>Impairment</t>
  </si>
  <si>
    <t>WC</t>
  </si>
  <si>
    <t>CFFO</t>
  </si>
  <si>
    <t>CapEx</t>
  </si>
  <si>
    <t>Investments</t>
  </si>
  <si>
    <t>Acquisitions</t>
  </si>
  <si>
    <t>Divestitures</t>
  </si>
  <si>
    <t>CFFI</t>
  </si>
  <si>
    <t>Buybacks</t>
  </si>
  <si>
    <t>Dividends</t>
  </si>
  <si>
    <t>ESOP</t>
  </si>
  <si>
    <t>CFFF</t>
  </si>
  <si>
    <t>FX</t>
  </si>
  <si>
    <t>CIC</t>
  </si>
  <si>
    <t>FCF</t>
  </si>
  <si>
    <t>FY2003</t>
  </si>
  <si>
    <t>FY2024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</si>
</sst>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/mm/yy;@"/>
  </numFmts>
  <fonts count="3" x14ac:knownFonts="1">
    <font>
      <sz val="10"/>
      <color theme="1"/>
      <name val="Arial"/>
      <family val="2"/>
    </font>
    <font>
      <b/>
      <sz val="10"/>
      <color theme="1"/>
      <name val="Arial"/>
      <family val="2"/>
    </font>
    <font>
      <sz val="2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horizontal="right"/>
    </xf>
    <xf numFmtId="3" fontId="0" fillId="0" borderId="0" xfId="0" applyNumberFormat="1"/>
    <xf numFmtId="3" fontId="0" fillId="0" borderId="0" xfId="0" applyNumberFormat="1" applyAlignment="1">
      <alignment horizontal="right"/>
    </xf>
    <xf numFmtId="3" fontId="2" fillId="0" borderId="0" xfId="0" applyNumberFormat="1" applyFont="1"/>
    <xf numFmtId="2" fontId="0" fillId="0" borderId="0" xfId="0" applyNumberFormat="1"/>
    <xf numFmtId="3" fontId="1" fillId="0" borderId="0" xfId="0" applyNumberFormat="1" applyFont="1"/>
    <xf numFmtId="3" fontId="1" fillId="0" borderId="0" xfId="0" applyNumberFormat="1" applyFont="1" applyAlignment="1">
      <alignment horizontal="right"/>
    </xf>
    <xf numFmtId="9" fontId="0" fillId="0" borderId="0" xfId="0" applyNumberFormat="1"/>
    <xf numFmtId="9" fontId="0" fillId="0" borderId="0" xfId="0" applyNumberFormat="1" applyAlignment="1">
      <alignment horizontal="right"/>
    </xf>
    <xf numFmtId="165" fontId="0" fillId="0" borderId="0" xfId="0" applyNumberFormat="1"/>
    <xf numFmtId="165" fontId="0" fillId="0" borderId="0" xfId="0" applyNumberFormat="1" applyAlignment="1">
      <alignment horizontal="right"/>
    </xf>
    <xf numFmtId="9" fontId="1" fillId="0" borderId="0" xfId="0" applyNumberFormat="1" applyFont="1"/>
    <xf numFmtId="9" fontId="1" fillId="0" borderId="0" xfId="0" applyNumberFormat="1" applyFont="1" applyAlignment="1">
      <alignment horizontal="right"/>
    </xf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9525</xdr:colOff>
      <xdr:row>0</xdr:row>
      <xdr:rowOff>85725</xdr:rowOff>
    </xdr:from>
    <xdr:to>
      <xdr:col>17</xdr:col>
      <xdr:colOff>9525</xdr:colOff>
      <xdr:row>81</xdr:row>
      <xdr:rowOff>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83F4543C-4D7F-DC71-5241-8512F4D38364}"/>
            </a:ext>
          </a:extLst>
        </xdr:cNvPr>
        <xdr:cNvCxnSpPr/>
      </xdr:nvCxnSpPr>
      <xdr:spPr>
        <a:xfrm>
          <a:off x="10915650" y="85725"/>
          <a:ext cx="0" cy="13249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28575</xdr:colOff>
      <xdr:row>0</xdr:row>
      <xdr:rowOff>47625</xdr:rowOff>
    </xdr:from>
    <xdr:to>
      <xdr:col>23</xdr:col>
      <xdr:colOff>28575</xdr:colOff>
      <xdr:row>78</xdr:row>
      <xdr:rowOff>66675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60A1FC62-48FF-4583-9A7F-8158C58B4E3E}"/>
            </a:ext>
          </a:extLst>
        </xdr:cNvPr>
        <xdr:cNvCxnSpPr/>
      </xdr:nvCxnSpPr>
      <xdr:spPr>
        <a:xfrm>
          <a:off x="18249900" y="47625"/>
          <a:ext cx="0" cy="12868275"/>
        </a:xfrm>
        <a:prstGeom prst="line">
          <a:avLst/>
        </a:prstGeom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0C9E3-6670-4DA4-9A6E-A065C5B4E0E5}">
  <dimension ref="B1:L7"/>
  <sheetViews>
    <sheetView workbookViewId="0">
      <selection activeCell="L8" sqref="L8"/>
    </sheetView>
  </sheetViews>
  <sheetFormatPr defaultRowHeight="12.75" x14ac:dyDescent="0.2"/>
  <cols>
    <col min="1" max="1" width="3.140625" customWidth="1"/>
    <col min="2" max="2" width="24.28515625" bestFit="1" customWidth="1"/>
  </cols>
  <sheetData>
    <row r="1" spans="2:12" ht="30" x14ac:dyDescent="0.4">
      <c r="B1" s="1" t="s">
        <v>0</v>
      </c>
    </row>
    <row r="2" spans="2:12" x14ac:dyDescent="0.2">
      <c r="B2" t="s">
        <v>1</v>
      </c>
      <c r="K2" t="s">
        <v>19</v>
      </c>
      <c r="L2" s="6">
        <v>168.92</v>
      </c>
    </row>
    <row r="3" spans="2:12" x14ac:dyDescent="0.2">
      <c r="K3" t="s">
        <v>20</v>
      </c>
      <c r="L3" s="3">
        <v>1114</v>
      </c>
    </row>
    <row r="4" spans="2:12" x14ac:dyDescent="0.2">
      <c r="K4" t="s">
        <v>21</v>
      </c>
      <c r="L4" s="3">
        <f>+L2*L3</f>
        <v>188176.87999999998</v>
      </c>
    </row>
    <row r="5" spans="2:12" x14ac:dyDescent="0.2">
      <c r="K5" t="s">
        <v>22</v>
      </c>
      <c r="L5" s="3">
        <f>7770+5262</f>
        <v>13032</v>
      </c>
    </row>
    <row r="6" spans="2:12" x14ac:dyDescent="0.2">
      <c r="K6" t="s">
        <v>23</v>
      </c>
      <c r="L6" s="3">
        <f>1364+13190</f>
        <v>14554</v>
      </c>
    </row>
    <row r="7" spans="2:12" x14ac:dyDescent="0.2">
      <c r="K7" t="s">
        <v>24</v>
      </c>
      <c r="L7" s="3">
        <f>+L4-L5+L6</f>
        <v>189698.87999999998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BB763-0003-46F3-A51D-D04D48C1A13A}">
  <dimension ref="B1:AH77"/>
  <sheetViews>
    <sheetView tabSelected="1" workbookViewId="0">
      <pane xSplit="2" ySplit="3" topLeftCell="N52" activePane="bottomRight" state="frozen"/>
      <selection pane="topRight" activeCell="C1" sqref="C1"/>
      <selection pane="bottomLeft" activeCell="A4" sqref="A4"/>
      <selection pane="bottomRight" activeCell="W77" sqref="W77"/>
    </sheetView>
  </sheetViews>
  <sheetFormatPr defaultRowHeight="12.75" x14ac:dyDescent="0.2"/>
  <cols>
    <col min="1" max="1" width="2.140625" style="3" customWidth="1"/>
    <col min="2" max="2" width="24.28515625" style="3" bestFit="1" customWidth="1"/>
    <col min="3" max="18" width="9.140625" style="4"/>
    <col min="19" max="16384" width="9.140625" style="3"/>
  </cols>
  <sheetData>
    <row r="1" spans="2:34" ht="30" x14ac:dyDescent="0.4">
      <c r="B1" s="5" t="s">
        <v>0</v>
      </c>
      <c r="N1" s="4" t="s">
        <v>82</v>
      </c>
      <c r="R1" s="4" t="s">
        <v>83</v>
      </c>
    </row>
    <row r="2" spans="2:34" s="11" customFormat="1" x14ac:dyDescent="0.2">
      <c r="B2" s="11" t="s">
        <v>1</v>
      </c>
      <c r="C2" s="12"/>
      <c r="D2" s="12"/>
      <c r="E2" s="12"/>
      <c r="F2" s="12"/>
      <c r="G2" s="12"/>
      <c r="H2" s="12"/>
      <c r="I2" s="12"/>
      <c r="J2" s="12">
        <v>44829</v>
      </c>
      <c r="K2" s="12">
        <v>45285</v>
      </c>
      <c r="L2" s="12">
        <v>45011</v>
      </c>
      <c r="M2" s="12">
        <v>45468</v>
      </c>
      <c r="N2" s="12">
        <v>45193</v>
      </c>
      <c r="O2" s="12">
        <v>45650</v>
      </c>
      <c r="P2" s="12">
        <v>45375</v>
      </c>
      <c r="Q2" s="12">
        <v>45466</v>
      </c>
      <c r="R2" s="12"/>
    </row>
    <row r="3" spans="2:34" x14ac:dyDescent="0.2"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  <c r="O3" s="2" t="s">
        <v>14</v>
      </c>
      <c r="P3" s="2" t="s">
        <v>15</v>
      </c>
      <c r="Q3" s="2" t="s">
        <v>16</v>
      </c>
      <c r="R3" s="2" t="s">
        <v>17</v>
      </c>
      <c r="T3">
        <v>2020</v>
      </c>
      <c r="U3">
        <f>+T3+1</f>
        <v>2021</v>
      </c>
      <c r="V3">
        <f t="shared" ref="V3:AH3" si="0">+U3+1</f>
        <v>2022</v>
      </c>
      <c r="W3">
        <f t="shared" si="0"/>
        <v>2023</v>
      </c>
      <c r="X3">
        <f t="shared" si="0"/>
        <v>2024</v>
      </c>
      <c r="Y3">
        <f t="shared" si="0"/>
        <v>2025</v>
      </c>
      <c r="Z3">
        <f t="shared" si="0"/>
        <v>2026</v>
      </c>
      <c r="AA3">
        <f t="shared" si="0"/>
        <v>2027</v>
      </c>
      <c r="AB3">
        <f t="shared" si="0"/>
        <v>2028</v>
      </c>
      <c r="AC3">
        <f t="shared" si="0"/>
        <v>2029</v>
      </c>
      <c r="AD3">
        <f t="shared" si="0"/>
        <v>2030</v>
      </c>
      <c r="AE3">
        <f t="shared" si="0"/>
        <v>2031</v>
      </c>
      <c r="AF3">
        <f t="shared" si="0"/>
        <v>2032</v>
      </c>
      <c r="AG3">
        <f t="shared" si="0"/>
        <v>2033</v>
      </c>
      <c r="AH3">
        <f t="shared" si="0"/>
        <v>2034</v>
      </c>
    </row>
    <row r="4" spans="2:34" x14ac:dyDescent="0.2">
      <c r="B4" s="3" t="s">
        <v>25</v>
      </c>
      <c r="J4" s="4">
        <v>9807</v>
      </c>
      <c r="K4" s="4">
        <v>7784</v>
      </c>
      <c r="L4" s="4">
        <v>7846</v>
      </c>
      <c r="M4" s="4">
        <v>7108</v>
      </c>
      <c r="N4" s="4">
        <v>7290</v>
      </c>
      <c r="O4" s="4">
        <v>8316</v>
      </c>
      <c r="P4" s="4">
        <v>7950</v>
      </c>
      <c r="Q4" s="4">
        <v>7993</v>
      </c>
    </row>
    <row r="5" spans="2:34" x14ac:dyDescent="0.2">
      <c r="B5" s="3" t="s">
        <v>26</v>
      </c>
      <c r="J5" s="4">
        <v>1589</v>
      </c>
      <c r="K5" s="4">
        <v>1679</v>
      </c>
      <c r="L5" s="4">
        <v>1429</v>
      </c>
      <c r="M5" s="4">
        <v>1343</v>
      </c>
      <c r="N5" s="4">
        <v>1341</v>
      </c>
      <c r="O5" s="4">
        <v>1619</v>
      </c>
      <c r="P5" s="4">
        <v>1439</v>
      </c>
      <c r="Q5" s="4">
        <v>1400</v>
      </c>
    </row>
    <row r="6" spans="2:34" s="7" customFormat="1" x14ac:dyDescent="0.2">
      <c r="B6" s="7" t="s">
        <v>18</v>
      </c>
      <c r="C6" s="8"/>
      <c r="D6" s="8"/>
      <c r="E6" s="8"/>
      <c r="F6" s="8"/>
      <c r="G6" s="8"/>
      <c r="H6" s="8"/>
      <c r="I6" s="8"/>
      <c r="J6" s="8">
        <f>+SUM(J4:J5)</f>
        <v>11396</v>
      </c>
      <c r="K6" s="8">
        <f>+SUM(K4:K5)</f>
        <v>9463</v>
      </c>
      <c r="L6" s="8">
        <f>+SUM(L4:L5)</f>
        <v>9275</v>
      </c>
      <c r="M6" s="8">
        <f>+SUM(M4:M5)</f>
        <v>8451</v>
      </c>
      <c r="N6" s="8">
        <f>+SUM(N4:N5)</f>
        <v>8631</v>
      </c>
      <c r="O6" s="8">
        <f>+SUM(O4:O5)</f>
        <v>9935</v>
      </c>
      <c r="P6" s="8">
        <f>+SUM(P4:P5)</f>
        <v>9389</v>
      </c>
      <c r="Q6" s="8">
        <f>+SUM(Q4:Q5)</f>
        <v>9393</v>
      </c>
      <c r="R6" s="8"/>
    </row>
    <row r="7" spans="2:34" x14ac:dyDescent="0.2">
      <c r="B7" s="3" t="s">
        <v>27</v>
      </c>
      <c r="J7" s="4">
        <v>4868</v>
      </c>
      <c r="K7" s="4">
        <v>4044</v>
      </c>
      <c r="L7" s="4">
        <v>4153</v>
      </c>
      <c r="M7" s="4">
        <v>3792</v>
      </c>
      <c r="N7" s="4">
        <v>3880</v>
      </c>
      <c r="O7" s="4">
        <v>4312</v>
      </c>
      <c r="P7" s="4">
        <v>4106</v>
      </c>
      <c r="Q7" s="4">
        <v>4174</v>
      </c>
    </row>
    <row r="8" spans="2:34" s="7" customFormat="1" x14ac:dyDescent="0.2">
      <c r="B8" s="7" t="s">
        <v>28</v>
      </c>
      <c r="C8" s="8"/>
      <c r="D8" s="8"/>
      <c r="E8" s="8"/>
      <c r="F8" s="8"/>
      <c r="G8" s="8"/>
      <c r="H8" s="8"/>
      <c r="I8" s="8"/>
      <c r="J8" s="8">
        <f>+J6-J7</f>
        <v>6528</v>
      </c>
      <c r="K8" s="8">
        <f>+K6-K7</f>
        <v>5419</v>
      </c>
      <c r="L8" s="8">
        <f>+L6-L7</f>
        <v>5122</v>
      </c>
      <c r="M8" s="8">
        <f>+M6-M7</f>
        <v>4659</v>
      </c>
      <c r="N8" s="8">
        <f>+N6-N7</f>
        <v>4751</v>
      </c>
      <c r="O8" s="8">
        <f>+O6-O7</f>
        <v>5623</v>
      </c>
      <c r="P8" s="8">
        <f>+P6-P7</f>
        <v>5283</v>
      </c>
      <c r="Q8" s="8">
        <f>+Q6-Q7</f>
        <v>5219</v>
      </c>
      <c r="R8" s="8"/>
    </row>
    <row r="9" spans="2:34" x14ac:dyDescent="0.2">
      <c r="B9" s="3" t="s">
        <v>29</v>
      </c>
      <c r="J9" s="4">
        <v>2179</v>
      </c>
      <c r="K9" s="4">
        <v>2251</v>
      </c>
      <c r="L9" s="4">
        <v>2210</v>
      </c>
      <c r="M9" s="4">
        <v>2222</v>
      </c>
      <c r="N9" s="4">
        <v>2135</v>
      </c>
      <c r="O9" s="4">
        <v>2096</v>
      </c>
      <c r="P9" s="4">
        <v>2236</v>
      </c>
      <c r="Q9" s="4">
        <v>2259</v>
      </c>
    </row>
    <row r="10" spans="2:34" x14ac:dyDescent="0.2">
      <c r="B10" s="3" t="s">
        <v>30</v>
      </c>
      <c r="J10" s="4">
        <v>683</v>
      </c>
      <c r="K10" s="4">
        <v>623</v>
      </c>
      <c r="L10" s="4">
        <v>614</v>
      </c>
      <c r="M10" s="4">
        <v>618</v>
      </c>
      <c r="N10" s="4">
        <v>628</v>
      </c>
      <c r="O10" s="4">
        <v>627</v>
      </c>
      <c r="P10" s="4">
        <v>707</v>
      </c>
      <c r="Q10" s="4">
        <v>664</v>
      </c>
    </row>
    <row r="11" spans="2:34" x14ac:dyDescent="0.2">
      <c r="B11" s="3" t="s">
        <v>31</v>
      </c>
      <c r="J11" s="4">
        <f>+SUM(J9:J10)</f>
        <v>2862</v>
      </c>
      <c r="K11" s="4">
        <f>+SUM(K9:K10)</f>
        <v>2874</v>
      </c>
      <c r="L11" s="4">
        <f>+SUM(L9:L10)</f>
        <v>2824</v>
      </c>
      <c r="M11" s="4">
        <f>+SUM(M9:M10)</f>
        <v>2840</v>
      </c>
      <c r="N11" s="4">
        <f>+SUM(N9:N10)</f>
        <v>2763</v>
      </c>
      <c r="O11" s="4">
        <f>+SUM(O9:O10)</f>
        <v>2723</v>
      </c>
      <c r="P11" s="4">
        <f>+SUM(P9:P10)</f>
        <v>2943</v>
      </c>
      <c r="Q11" s="4">
        <f>+SUM(Q9:Q10)</f>
        <v>2923</v>
      </c>
    </row>
    <row r="12" spans="2:34" s="7" customFormat="1" x14ac:dyDescent="0.2">
      <c r="B12" s="7" t="s">
        <v>32</v>
      </c>
      <c r="C12" s="8"/>
      <c r="D12" s="8"/>
      <c r="E12" s="8"/>
      <c r="F12" s="8"/>
      <c r="G12" s="8"/>
      <c r="H12" s="8"/>
      <c r="I12" s="8"/>
      <c r="J12" s="8">
        <f>+J8-J11</f>
        <v>3666</v>
      </c>
      <c r="K12" s="8">
        <f>+K8-K11</f>
        <v>2545</v>
      </c>
      <c r="L12" s="8">
        <f>+L8-L11</f>
        <v>2298</v>
      </c>
      <c r="M12" s="8">
        <f>+M8-M11</f>
        <v>1819</v>
      </c>
      <c r="N12" s="8">
        <f>+N8-N11</f>
        <v>1988</v>
      </c>
      <c r="O12" s="8">
        <f>+O8-O11</f>
        <v>2900</v>
      </c>
      <c r="P12" s="8">
        <f>+P8-P11</f>
        <v>2340</v>
      </c>
      <c r="Q12" s="8">
        <f>+Q8-Q11</f>
        <v>2296</v>
      </c>
      <c r="R12" s="8"/>
    </row>
    <row r="13" spans="2:34" x14ac:dyDescent="0.2">
      <c r="B13" s="3" t="s">
        <v>33</v>
      </c>
      <c r="J13" s="4">
        <v>-145</v>
      </c>
      <c r="K13" s="4">
        <v>-170</v>
      </c>
      <c r="L13" s="4">
        <v>-179</v>
      </c>
      <c r="M13" s="4">
        <v>-172</v>
      </c>
      <c r="N13" s="4">
        <v>-174</v>
      </c>
      <c r="O13" s="4">
        <v>-178</v>
      </c>
      <c r="P13" s="4">
        <v>-172</v>
      </c>
      <c r="Q13" s="4">
        <v>-168</v>
      </c>
    </row>
    <row r="14" spans="2:34" x14ac:dyDescent="0.2">
      <c r="B14" s="3" t="s">
        <v>34</v>
      </c>
      <c r="J14" s="4">
        <f>+J12+J13</f>
        <v>3521</v>
      </c>
      <c r="K14" s="4">
        <f>+K12+K13</f>
        <v>2375</v>
      </c>
      <c r="L14" s="4">
        <f>+L12+L13</f>
        <v>2119</v>
      </c>
      <c r="M14" s="4">
        <f>+M12+M13</f>
        <v>1647</v>
      </c>
      <c r="N14" s="4">
        <f>+N12+N13</f>
        <v>1814</v>
      </c>
      <c r="O14" s="4">
        <f>+O12+O13</f>
        <v>2722</v>
      </c>
      <c r="P14" s="4">
        <f>+P12+P13</f>
        <v>2168</v>
      </c>
      <c r="Q14" s="4">
        <f>+Q12+Q13</f>
        <v>2128</v>
      </c>
    </row>
    <row r="15" spans="2:34" x14ac:dyDescent="0.2">
      <c r="B15" s="3" t="s">
        <v>35</v>
      </c>
      <c r="J15" s="4">
        <v>547</v>
      </c>
      <c r="K15" s="4">
        <v>98</v>
      </c>
      <c r="L15" s="4">
        <v>193</v>
      </c>
      <c r="M15" s="4">
        <v>22</v>
      </c>
      <c r="N15" s="4">
        <v>-209</v>
      </c>
      <c r="O15" s="4">
        <v>151</v>
      </c>
      <c r="P15" s="4">
        <v>223</v>
      </c>
      <c r="Q15" s="4">
        <v>171</v>
      </c>
    </row>
    <row r="16" spans="2:34" s="7" customFormat="1" x14ac:dyDescent="0.2">
      <c r="B16" s="7" t="s">
        <v>36</v>
      </c>
      <c r="C16" s="8"/>
      <c r="D16" s="8"/>
      <c r="E16" s="8"/>
      <c r="F16" s="8"/>
      <c r="G16" s="8"/>
      <c r="H16" s="8"/>
      <c r="I16" s="8"/>
      <c r="J16" s="8">
        <f>+J14-J15</f>
        <v>2974</v>
      </c>
      <c r="K16" s="8">
        <f>+K14-K15</f>
        <v>2277</v>
      </c>
      <c r="L16" s="8">
        <f>+L14-L15</f>
        <v>1926</v>
      </c>
      <c r="M16" s="8">
        <f>+M14-M15</f>
        <v>1625</v>
      </c>
      <c r="N16" s="8">
        <f>+N14-N15</f>
        <v>2023</v>
      </c>
      <c r="O16" s="8">
        <f>+O14-O15</f>
        <v>2571</v>
      </c>
      <c r="P16" s="8">
        <f>+P14-P15</f>
        <v>1945</v>
      </c>
      <c r="Q16" s="8">
        <f>+Q14-Q15</f>
        <v>1957</v>
      </c>
      <c r="R16" s="8"/>
    </row>
    <row r="17" spans="2:18" x14ac:dyDescent="0.2">
      <c r="B17" s="3" t="s">
        <v>37</v>
      </c>
      <c r="J17" s="15">
        <f>+J16/J18</f>
        <v>2.6248896734333629</v>
      </c>
      <c r="K17" s="15">
        <f>+K16/K18</f>
        <v>2.0132625994694959</v>
      </c>
      <c r="L17" s="15">
        <f>+L16/L18</f>
        <v>1.7150489759572574</v>
      </c>
      <c r="M17" s="15">
        <f>+M16/M18</f>
        <v>1.445729537366548</v>
      </c>
      <c r="N17" s="15">
        <f>+N16/N18</f>
        <v>1.7982222222222222</v>
      </c>
      <c r="O17" s="15">
        <f>+O16/O18</f>
        <v>2.2812777284826975</v>
      </c>
      <c r="P17" s="15">
        <f>+P16/P18</f>
        <v>1.7212389380530972</v>
      </c>
      <c r="Q17" s="15">
        <f>+Q16/Q18</f>
        <v>1.7257495590828924</v>
      </c>
    </row>
    <row r="18" spans="2:18" x14ac:dyDescent="0.2">
      <c r="B18" s="3" t="s">
        <v>20</v>
      </c>
      <c r="J18" s="4">
        <v>1133</v>
      </c>
      <c r="K18" s="4">
        <v>1131</v>
      </c>
      <c r="L18" s="4">
        <v>1123</v>
      </c>
      <c r="M18" s="4">
        <v>1124</v>
      </c>
      <c r="N18" s="4">
        <v>1125</v>
      </c>
      <c r="O18" s="4">
        <v>1127</v>
      </c>
      <c r="P18" s="4">
        <v>1130</v>
      </c>
      <c r="Q18" s="4">
        <v>1134</v>
      </c>
    </row>
    <row r="20" spans="2:18" s="9" customFormat="1" x14ac:dyDescent="0.2">
      <c r="B20" s="9" t="s">
        <v>38</v>
      </c>
      <c r="C20" s="10"/>
      <c r="D20" s="10"/>
      <c r="E20" s="10"/>
      <c r="F20" s="10"/>
      <c r="G20" s="10"/>
      <c r="H20" s="10"/>
      <c r="I20" s="10"/>
      <c r="J20" s="10">
        <f>+J8/J6</f>
        <v>0.57283257283257283</v>
      </c>
      <c r="K20" s="10">
        <f>+K8/K6</f>
        <v>0.57265137905526786</v>
      </c>
      <c r="L20" s="10">
        <f>+L8/L6</f>
        <v>0.55223719676549865</v>
      </c>
      <c r="M20" s="10">
        <f>+M8/M6</f>
        <v>0.55129570465033728</v>
      </c>
      <c r="N20" s="10">
        <f>+N8/N6</f>
        <v>0.55045765264743363</v>
      </c>
      <c r="O20" s="10">
        <f>+O8/O6</f>
        <v>0.56597886260694519</v>
      </c>
      <c r="P20" s="10">
        <f>+P8/P6</f>
        <v>0.56267973160080942</v>
      </c>
      <c r="Q20" s="10">
        <f>+Q8/Q6</f>
        <v>0.555626530394975</v>
      </c>
      <c r="R20" s="10"/>
    </row>
    <row r="21" spans="2:18" s="9" customFormat="1" x14ac:dyDescent="0.2">
      <c r="B21" s="9" t="s">
        <v>39</v>
      </c>
      <c r="C21" s="10"/>
      <c r="D21" s="10"/>
      <c r="E21" s="10"/>
      <c r="F21" s="10"/>
      <c r="G21" s="10"/>
      <c r="H21" s="10"/>
      <c r="I21" s="10"/>
      <c r="J21" s="10">
        <f>+J12/J6</f>
        <v>0.3216918216918217</v>
      </c>
      <c r="K21" s="10">
        <f>+K12/K6</f>
        <v>0.26894219592095531</v>
      </c>
      <c r="L21" s="10">
        <f>+L12/L6</f>
        <v>0.24776280323450134</v>
      </c>
      <c r="M21" s="10">
        <f>+M12/M6</f>
        <v>0.21524079990533665</v>
      </c>
      <c r="N21" s="10">
        <f>+N12/N6</f>
        <v>0.23033252230332521</v>
      </c>
      <c r="O21" s="10">
        <f>+O12/O6</f>
        <v>0.291897332662305</v>
      </c>
      <c r="P21" s="10">
        <f>+P12/P6</f>
        <v>0.24922781978911493</v>
      </c>
      <c r="Q21" s="10">
        <f>+Q12/Q6</f>
        <v>0.24443734696050251</v>
      </c>
      <c r="R21" s="10"/>
    </row>
    <row r="22" spans="2:18" s="9" customFormat="1" x14ac:dyDescent="0.2">
      <c r="B22" s="9" t="s">
        <v>40</v>
      </c>
      <c r="C22" s="10"/>
      <c r="D22" s="10"/>
      <c r="E22" s="10"/>
      <c r="F22" s="10"/>
      <c r="G22" s="10"/>
      <c r="H22" s="10"/>
      <c r="I22" s="10"/>
      <c r="J22" s="10">
        <f>+J16/J6</f>
        <v>0.26096876096876098</v>
      </c>
      <c r="K22" s="10">
        <f>+K16/K6</f>
        <v>0.24062136743104723</v>
      </c>
      <c r="L22" s="10">
        <f>+L16/L6</f>
        <v>0.20765498652291106</v>
      </c>
      <c r="M22" s="10">
        <f>+M16/M6</f>
        <v>0.19228493669388239</v>
      </c>
      <c r="N22" s="10">
        <f>+N16/N6</f>
        <v>0.23438767234387672</v>
      </c>
      <c r="O22" s="10">
        <f>+O16/O6</f>
        <v>0.25878208354302967</v>
      </c>
      <c r="P22" s="10">
        <f>+P16/P6</f>
        <v>0.20715731174778998</v>
      </c>
      <c r="Q22" s="10">
        <f>+Q16/Q6</f>
        <v>0.20834664111572448</v>
      </c>
      <c r="R22" s="10"/>
    </row>
    <row r="23" spans="2:18" s="9" customFormat="1" x14ac:dyDescent="0.2">
      <c r="B23" s="9" t="s">
        <v>41</v>
      </c>
      <c r="C23" s="10"/>
      <c r="D23" s="10"/>
      <c r="E23" s="10"/>
      <c r="F23" s="10"/>
      <c r="G23" s="10"/>
      <c r="H23" s="10"/>
      <c r="I23" s="10"/>
      <c r="J23" s="10">
        <f>+J15/J14</f>
        <v>0.15535359272933827</v>
      </c>
      <c r="K23" s="10">
        <f>+K15/K14</f>
        <v>4.1263157894736842E-2</v>
      </c>
      <c r="L23" s="10">
        <f>+L15/L14</f>
        <v>9.1080698442661631E-2</v>
      </c>
      <c r="M23" s="10">
        <f>+M15/M14</f>
        <v>1.3357619914996965E-2</v>
      </c>
      <c r="N23" s="10">
        <f>+N15/N14</f>
        <v>-0.11521499448732084</v>
      </c>
      <c r="O23" s="10">
        <f>+O15/O14</f>
        <v>5.547391623806025E-2</v>
      </c>
      <c r="P23" s="10">
        <f>+P15/P14</f>
        <v>0.10285977859778597</v>
      </c>
      <c r="Q23" s="10">
        <f>+Q15/Q14</f>
        <v>8.0357142857142863E-2</v>
      </c>
      <c r="R23" s="10"/>
    </row>
    <row r="24" spans="2:18" s="9" customFormat="1" x14ac:dyDescent="0.2"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</row>
    <row r="25" spans="2:18" s="13" customFormat="1" x14ac:dyDescent="0.2">
      <c r="B25" s="13" t="s">
        <v>42</v>
      </c>
      <c r="C25" s="14"/>
      <c r="D25" s="14"/>
      <c r="E25" s="14"/>
      <c r="F25" s="14"/>
      <c r="G25" s="14"/>
      <c r="H25" s="14"/>
      <c r="I25" s="14"/>
      <c r="J25" s="14" t="e">
        <f>+J4/F4-1</f>
        <v>#DIV/0!</v>
      </c>
      <c r="K25" s="14" t="e">
        <f>+K4/G4-1</f>
        <v>#DIV/0!</v>
      </c>
      <c r="L25" s="14" t="e">
        <f>+L4/H4-1</f>
        <v>#DIV/0!</v>
      </c>
      <c r="M25" s="14" t="e">
        <f>+M4/I4-1</f>
        <v>#DIV/0!</v>
      </c>
      <c r="N25" s="14">
        <f>+N4/J4-1</f>
        <v>-0.25665341082899973</v>
      </c>
      <c r="O25" s="14">
        <f>+O4/K4-1</f>
        <v>6.8345323741007213E-2</v>
      </c>
      <c r="P25" s="14">
        <f>+P4/L4-1</f>
        <v>1.3255161865918907E-2</v>
      </c>
      <c r="Q25" s="14">
        <f>+Q4/M4-1</f>
        <v>0.12450759707371972</v>
      </c>
      <c r="R25" s="14"/>
    </row>
    <row r="27" spans="2:18" x14ac:dyDescent="0.2">
      <c r="B27" s="3" t="s">
        <v>43</v>
      </c>
      <c r="N27" s="4">
        <f>+N28-N41</f>
        <v>-4074</v>
      </c>
      <c r="O27" s="4">
        <f>+O28-O41</f>
        <v>-3426</v>
      </c>
      <c r="P27" s="4">
        <f>+P28-P41</f>
        <v>-1606</v>
      </c>
      <c r="Q27" s="4">
        <f>+Q28-Q41</f>
        <v>-1522</v>
      </c>
    </row>
    <row r="28" spans="2:18" x14ac:dyDescent="0.2">
      <c r="B28" s="3" t="s">
        <v>22</v>
      </c>
      <c r="N28" s="4">
        <f>8450+2874</f>
        <v>11324</v>
      </c>
      <c r="O28" s="4">
        <f>8133+3921</f>
        <v>12054</v>
      </c>
      <c r="P28" s="4">
        <f>9219+4632</f>
        <v>13851</v>
      </c>
      <c r="Q28" s="4">
        <f>7770+5262</f>
        <v>13032</v>
      </c>
    </row>
    <row r="29" spans="2:18" x14ac:dyDescent="0.2">
      <c r="B29" s="3" t="s">
        <v>44</v>
      </c>
      <c r="N29" s="4">
        <v>3183</v>
      </c>
      <c r="O29" s="4">
        <v>3513</v>
      </c>
      <c r="P29" s="4">
        <v>3054</v>
      </c>
      <c r="Q29" s="4">
        <v>2948</v>
      </c>
    </row>
    <row r="30" spans="2:18" x14ac:dyDescent="0.2">
      <c r="B30" s="3" t="s">
        <v>45</v>
      </c>
      <c r="N30" s="4">
        <v>6422</v>
      </c>
      <c r="O30" s="4">
        <v>6247</v>
      </c>
      <c r="P30" s="4">
        <v>6087</v>
      </c>
      <c r="Q30" s="4">
        <v>6020</v>
      </c>
    </row>
    <row r="31" spans="2:18" x14ac:dyDescent="0.2">
      <c r="B31" s="3" t="s">
        <v>61</v>
      </c>
      <c r="N31" s="4">
        <f>341+88</f>
        <v>429</v>
      </c>
      <c r="O31" s="4">
        <f>337+69</f>
        <v>406</v>
      </c>
      <c r="P31" s="4">
        <v>0</v>
      </c>
      <c r="Q31" s="4">
        <v>0</v>
      </c>
    </row>
    <row r="32" spans="2:18" x14ac:dyDescent="0.2">
      <c r="B32" s="3" t="s">
        <v>62</v>
      </c>
      <c r="N32" s="4">
        <v>1194</v>
      </c>
      <c r="O32" s="4">
        <f>1288</f>
        <v>1288</v>
      </c>
      <c r="P32" s="4">
        <v>1240</v>
      </c>
      <c r="Q32" s="4">
        <f>1332</f>
        <v>1332</v>
      </c>
    </row>
    <row r="33" spans="2:18" x14ac:dyDescent="0.2">
      <c r="B33" s="3" t="s">
        <v>47</v>
      </c>
      <c r="N33" s="4">
        <v>3310</v>
      </c>
      <c r="O33" s="4">
        <v>3579</v>
      </c>
      <c r="P33" s="4">
        <v>3978</v>
      </c>
      <c r="Q33" s="4">
        <v>4420</v>
      </c>
    </row>
    <row r="34" spans="2:18" x14ac:dyDescent="0.2">
      <c r="B34" s="3" t="s">
        <v>48</v>
      </c>
      <c r="N34" s="4">
        <v>5042</v>
      </c>
      <c r="O34" s="4">
        <v>4907</v>
      </c>
      <c r="P34" s="4">
        <v>4724</v>
      </c>
      <c r="Q34" s="4">
        <v>4744</v>
      </c>
    </row>
    <row r="35" spans="2:18" x14ac:dyDescent="0.2">
      <c r="B35" s="3" t="s">
        <v>49</v>
      </c>
      <c r="N35" s="4">
        <f>10642+1408</f>
        <v>12050</v>
      </c>
      <c r="O35" s="4">
        <f>10722+1387</f>
        <v>12109</v>
      </c>
      <c r="P35" s="4">
        <f>10760+1331</f>
        <v>12091</v>
      </c>
      <c r="Q35" s="4">
        <f>10770+1296</f>
        <v>12066</v>
      </c>
    </row>
    <row r="36" spans="2:18" x14ac:dyDescent="0.2">
      <c r="B36" s="3" t="s">
        <v>58</v>
      </c>
      <c r="N36" s="4">
        <v>8086</v>
      </c>
      <c r="O36" s="4">
        <v>8032</v>
      </c>
      <c r="P36" s="4">
        <v>8142</v>
      </c>
      <c r="Q36" s="4">
        <v>8179</v>
      </c>
    </row>
    <row r="37" spans="2:18" s="7" customFormat="1" x14ac:dyDescent="0.2">
      <c r="B37" s="7" t="s">
        <v>50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>
        <f>+SUM(N28:N36)</f>
        <v>51040</v>
      </c>
      <c r="O37" s="8">
        <f>+SUM(O28:O36)</f>
        <v>52135</v>
      </c>
      <c r="P37" s="8">
        <f>+SUM(P28:P36)</f>
        <v>53167</v>
      </c>
      <c r="Q37" s="8">
        <f>+SUM(Q28:Q36)</f>
        <v>52741</v>
      </c>
      <c r="R37" s="8"/>
    </row>
    <row r="38" spans="2:18" x14ac:dyDescent="0.2">
      <c r="B38" s="3" t="s">
        <v>51</v>
      </c>
      <c r="N38" s="4">
        <v>1912</v>
      </c>
      <c r="O38" s="4">
        <v>2147</v>
      </c>
      <c r="P38" s="4">
        <v>2314</v>
      </c>
      <c r="Q38" s="4">
        <v>2586</v>
      </c>
    </row>
    <row r="39" spans="2:18" x14ac:dyDescent="0.2">
      <c r="B39" s="3" t="s">
        <v>52</v>
      </c>
      <c r="N39" s="4">
        <v>1685</v>
      </c>
      <c r="O39" s="4">
        <v>1757</v>
      </c>
      <c r="P39" s="4">
        <v>1253</v>
      </c>
      <c r="Q39" s="4">
        <v>1780</v>
      </c>
    </row>
    <row r="40" spans="2:18" x14ac:dyDescent="0.2">
      <c r="B40" s="3" t="s">
        <v>60</v>
      </c>
      <c r="N40" s="4">
        <f>293+99</f>
        <v>392</v>
      </c>
      <c r="O40" s="4">
        <f>210+93</f>
        <v>303</v>
      </c>
      <c r="P40" s="4">
        <f>253+135</f>
        <v>388</v>
      </c>
      <c r="Q40" s="4">
        <f>263+108</f>
        <v>371</v>
      </c>
    </row>
    <row r="41" spans="2:18" x14ac:dyDescent="0.2">
      <c r="B41" s="3" t="s">
        <v>23</v>
      </c>
      <c r="N41" s="4">
        <f>914+14484</f>
        <v>15398</v>
      </c>
      <c r="O41" s="4">
        <f>914+14566</f>
        <v>15480</v>
      </c>
      <c r="P41" s="4">
        <f>914+14543</f>
        <v>15457</v>
      </c>
      <c r="Q41" s="4">
        <f>1364+13190</f>
        <v>14554</v>
      </c>
    </row>
    <row r="42" spans="2:18" x14ac:dyDescent="0.2">
      <c r="B42" s="3" t="s">
        <v>61</v>
      </c>
      <c r="N42" s="4">
        <f>333+38</f>
        <v>371</v>
      </c>
      <c r="O42" s="4">
        <f>336+43</f>
        <v>379</v>
      </c>
      <c r="P42" s="4">
        <v>0</v>
      </c>
      <c r="Q42" s="4">
        <v>0</v>
      </c>
    </row>
    <row r="43" spans="2:18" x14ac:dyDescent="0.2">
      <c r="B43" s="3" t="s">
        <v>63</v>
      </c>
      <c r="N43" s="4">
        <v>4491</v>
      </c>
      <c r="O43" s="4">
        <f>3805</f>
        <v>3805</v>
      </c>
      <c r="P43" s="4">
        <v>4409</v>
      </c>
      <c r="Q43" s="4">
        <f>3754</f>
        <v>3754</v>
      </c>
    </row>
    <row r="44" spans="2:18" x14ac:dyDescent="0.2">
      <c r="B44" s="3" t="s">
        <v>35</v>
      </c>
      <c r="N44" s="4">
        <v>1080</v>
      </c>
      <c r="O44" s="4">
        <v>1056</v>
      </c>
      <c r="P44" s="4">
        <v>526</v>
      </c>
      <c r="Q44" s="4">
        <v>526</v>
      </c>
    </row>
    <row r="45" spans="2:18" x14ac:dyDescent="0.2">
      <c r="B45" s="3" t="s">
        <v>59</v>
      </c>
      <c r="N45" s="4">
        <v>4130</v>
      </c>
      <c r="O45" s="4">
        <v>4150</v>
      </c>
      <c r="P45" s="4">
        <v>4351</v>
      </c>
      <c r="Q45" s="4">
        <v>4500</v>
      </c>
    </row>
    <row r="46" spans="2:18" s="7" customFormat="1" x14ac:dyDescent="0.2">
      <c r="B46" s="7" t="s">
        <v>53</v>
      </c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>
        <f>+SUM(N38:N45)</f>
        <v>29459</v>
      </c>
      <c r="O46" s="8">
        <f>+SUM(O38:O45)</f>
        <v>29077</v>
      </c>
      <c r="P46" s="8">
        <f>+SUM(P38:P45)</f>
        <v>28698</v>
      </c>
      <c r="Q46" s="8">
        <f>+SUM(Q38:Q45)</f>
        <v>28071</v>
      </c>
      <c r="R46" s="8"/>
    </row>
    <row r="47" spans="2:18" x14ac:dyDescent="0.2">
      <c r="B47" s="3" t="s">
        <v>54</v>
      </c>
      <c r="N47" s="4">
        <v>23058</v>
      </c>
      <c r="O47" s="4">
        <v>23058</v>
      </c>
      <c r="P47" s="4">
        <v>24469</v>
      </c>
      <c r="Q47" s="4">
        <v>24670</v>
      </c>
    </row>
    <row r="48" spans="2:18" x14ac:dyDescent="0.2">
      <c r="B48" s="3" t="s">
        <v>55</v>
      </c>
      <c r="N48" s="4">
        <f>+N47+N46</f>
        <v>52517</v>
      </c>
      <c r="O48" s="4">
        <f>+O47+O46</f>
        <v>52135</v>
      </c>
      <c r="P48" s="4">
        <f>+P47+P46</f>
        <v>53167</v>
      </c>
      <c r="Q48" s="4">
        <f>+Q47+Q46</f>
        <v>52741</v>
      </c>
    </row>
    <row r="50" spans="2:24" x14ac:dyDescent="0.2">
      <c r="B50" s="3" t="s">
        <v>56</v>
      </c>
      <c r="N50" s="4">
        <f>+N16</f>
        <v>2023</v>
      </c>
      <c r="O50" s="4">
        <f>+O16</f>
        <v>2571</v>
      </c>
      <c r="P50" s="4">
        <f>+P16</f>
        <v>1945</v>
      </c>
      <c r="Q50" s="4">
        <f>+Q16</f>
        <v>1957</v>
      </c>
    </row>
    <row r="51" spans="2:24" x14ac:dyDescent="0.2">
      <c r="B51" s="3" t="s">
        <v>57</v>
      </c>
      <c r="N51" s="4">
        <v>1629</v>
      </c>
      <c r="O51" s="4">
        <v>2811</v>
      </c>
      <c r="P51" s="4">
        <f>5087-O51</f>
        <v>2276</v>
      </c>
      <c r="Q51" s="4">
        <f>7195-SUM(O51:P51)</f>
        <v>2108</v>
      </c>
    </row>
    <row r="52" spans="2:24" x14ac:dyDescent="0.2">
      <c r="B52" s="3" t="s">
        <v>64</v>
      </c>
      <c r="N52" s="4">
        <v>462</v>
      </c>
      <c r="O52" s="4">
        <v>437</v>
      </c>
      <c r="P52" s="4">
        <f>848-O52</f>
        <v>411</v>
      </c>
      <c r="Q52" s="4">
        <f>1267-SUM(O52:P52)</f>
        <v>419</v>
      </c>
    </row>
    <row r="53" spans="2:24" x14ac:dyDescent="0.2">
      <c r="B53" s="3" t="s">
        <v>35</v>
      </c>
      <c r="N53" s="4">
        <v>-433</v>
      </c>
      <c r="O53" s="4">
        <v>-1012</v>
      </c>
      <c r="P53" s="4">
        <f>-1764-O53</f>
        <v>-752</v>
      </c>
      <c r="Q53" s="4">
        <f>-2538-SUM(O53:P53)</f>
        <v>-774</v>
      </c>
    </row>
    <row r="54" spans="2:24" x14ac:dyDescent="0.2">
      <c r="B54" s="3" t="s">
        <v>65</v>
      </c>
      <c r="N54" s="4">
        <v>608</v>
      </c>
      <c r="O54" s="4">
        <v>602</v>
      </c>
      <c r="P54" s="4">
        <f>1307-O54</f>
        <v>705</v>
      </c>
      <c r="Q54" s="4">
        <f>1951-SUM(O54:P54)</f>
        <v>644</v>
      </c>
    </row>
    <row r="55" spans="2:24" x14ac:dyDescent="0.2">
      <c r="B55" s="3" t="s">
        <v>66</v>
      </c>
      <c r="N55" s="4">
        <v>-68</v>
      </c>
      <c r="O55" s="4">
        <v>-71</v>
      </c>
      <c r="P55" s="4">
        <f>-273-O55</f>
        <v>-202</v>
      </c>
      <c r="Q55" s="4">
        <f>-314-SUM(O55:P55)</f>
        <v>-41</v>
      </c>
    </row>
    <row r="56" spans="2:24" x14ac:dyDescent="0.2">
      <c r="B56" s="3" t="s">
        <v>67</v>
      </c>
      <c r="N56" s="4">
        <f>179+12</f>
        <v>191</v>
      </c>
      <c r="O56" s="4">
        <v>0</v>
      </c>
      <c r="P56" s="4">
        <v>62</v>
      </c>
      <c r="Q56" s="4">
        <f>66-SUM(O56:P56)</f>
        <v>4</v>
      </c>
    </row>
    <row r="57" spans="2:24" x14ac:dyDescent="0.2">
      <c r="B57" s="3" t="s">
        <v>46</v>
      </c>
      <c r="N57" s="4">
        <v>5</v>
      </c>
      <c r="O57" s="4">
        <v>9</v>
      </c>
      <c r="P57" s="4">
        <f>-30-O57</f>
        <v>-39</v>
      </c>
      <c r="Q57" s="4">
        <f>-63-SUM(O57:P57)</f>
        <v>-33</v>
      </c>
    </row>
    <row r="58" spans="2:24" x14ac:dyDescent="0.2">
      <c r="B58" s="3" t="s">
        <v>68</v>
      </c>
      <c r="N58" s="4">
        <f>665+200-1+172+605+60-5</f>
        <v>1696</v>
      </c>
      <c r="O58" s="4">
        <f>-325+165+115+241+74-81-16</f>
        <v>173</v>
      </c>
      <c r="P58" s="4">
        <f>92+328+221+420+286+10-91-O58</f>
        <v>1093</v>
      </c>
      <c r="Q58" s="4">
        <f>221+397+120+691+654-1-91-SUM(O58:P58)</f>
        <v>725</v>
      </c>
    </row>
    <row r="59" spans="2:24" x14ac:dyDescent="0.2">
      <c r="B59" s="3" t="s">
        <v>69</v>
      </c>
      <c r="N59" s="4">
        <f>+SUM(N51:N58)</f>
        <v>4090</v>
      </c>
      <c r="O59" s="4">
        <f>+SUM(O51:O58)</f>
        <v>2949</v>
      </c>
      <c r="P59" s="4">
        <f>+SUM(P51:P58)</f>
        <v>3554</v>
      </c>
      <c r="Q59" s="4">
        <f>+SUM(Q51:Q58)</f>
        <v>3052</v>
      </c>
      <c r="R59" s="4">
        <f>+N59</f>
        <v>4090</v>
      </c>
      <c r="V59" s="3">
        <v>9096</v>
      </c>
      <c r="W59" s="3">
        <v>11299</v>
      </c>
      <c r="X59" s="3">
        <f>+SUM(O59:R59)</f>
        <v>13645</v>
      </c>
    </row>
    <row r="61" spans="2:24" x14ac:dyDescent="0.2">
      <c r="B61" s="3" t="s">
        <v>70</v>
      </c>
      <c r="N61" s="4">
        <v>-293</v>
      </c>
      <c r="O61" s="4">
        <v>-214</v>
      </c>
      <c r="P61" s="4">
        <f>-398-O61</f>
        <v>-184</v>
      </c>
      <c r="Q61" s="4">
        <f>-785-SUM(O61:P61)</f>
        <v>-387</v>
      </c>
      <c r="R61" s="4">
        <f>+N61</f>
        <v>-293</v>
      </c>
      <c r="V61" s="3">
        <v>-2262</v>
      </c>
      <c r="W61" s="3">
        <v>-1450</v>
      </c>
      <c r="X61" s="3">
        <f>+SUM(O61:R61)</f>
        <v>-1078</v>
      </c>
    </row>
    <row r="62" spans="2:24" x14ac:dyDescent="0.2">
      <c r="B62" s="3" t="s">
        <v>71</v>
      </c>
      <c r="N62" s="4">
        <f>-646+447+7</f>
        <v>-192</v>
      </c>
      <c r="O62" s="4">
        <f>-1452+463</f>
        <v>-989</v>
      </c>
      <c r="P62" s="4">
        <f>-2842+1178+62-O62</f>
        <v>-613</v>
      </c>
      <c r="Q62" s="4">
        <f>-4156+1895+70-SUM(O62:P62)</f>
        <v>-589</v>
      </c>
    </row>
    <row r="63" spans="2:24" x14ac:dyDescent="0.2">
      <c r="B63" s="3" t="s">
        <v>72</v>
      </c>
      <c r="N63" s="4">
        <v>-128</v>
      </c>
      <c r="O63" s="4">
        <v>-60</v>
      </c>
      <c r="P63" s="4">
        <f>-165-O63</f>
        <v>-105</v>
      </c>
      <c r="Q63" s="4">
        <f>-234-SUM(O63:P63)</f>
        <v>-69</v>
      </c>
    </row>
    <row r="64" spans="2:24" x14ac:dyDescent="0.2">
      <c r="B64" s="3" t="s">
        <v>73</v>
      </c>
      <c r="N64" s="4">
        <v>6</v>
      </c>
      <c r="O64" s="4">
        <v>5</v>
      </c>
      <c r="P64" s="4">
        <f>8-O64</f>
        <v>3</v>
      </c>
      <c r="Q64" s="4">
        <f>10-SUM(O64:P64)</f>
        <v>2</v>
      </c>
    </row>
    <row r="65" spans="2:24" x14ac:dyDescent="0.2">
      <c r="B65" s="3" t="s">
        <v>46</v>
      </c>
      <c r="N65" s="4">
        <f>1-12</f>
        <v>-11</v>
      </c>
      <c r="O65" s="4">
        <v>2</v>
      </c>
      <c r="P65" s="4">
        <f>-38-O65</f>
        <v>-40</v>
      </c>
      <c r="Q65" s="4">
        <f>-2-SUM(O65:P65)</f>
        <v>36</v>
      </c>
    </row>
    <row r="66" spans="2:24" x14ac:dyDescent="0.2">
      <c r="B66" s="3" t="s">
        <v>74</v>
      </c>
      <c r="N66" s="4">
        <f>+SUM(N61:N65)</f>
        <v>-618</v>
      </c>
      <c r="O66" s="4">
        <f>+SUM(O61:O65)</f>
        <v>-1256</v>
      </c>
      <c r="P66" s="4">
        <f>+SUM(P61:P65)</f>
        <v>-939</v>
      </c>
      <c r="Q66" s="4">
        <f>+SUM(Q61:Q65)</f>
        <v>-1007</v>
      </c>
    </row>
    <row r="68" spans="2:24" x14ac:dyDescent="0.2">
      <c r="B68" s="3" t="s">
        <v>23</v>
      </c>
      <c r="N68" s="4">
        <v>0</v>
      </c>
      <c r="O68" s="4">
        <v>0</v>
      </c>
      <c r="P68" s="4">
        <v>0</v>
      </c>
      <c r="Q68" s="4">
        <v>-914</v>
      </c>
    </row>
    <row r="69" spans="2:24" x14ac:dyDescent="0.2">
      <c r="B69" s="3" t="s">
        <v>75</v>
      </c>
      <c r="N69" s="4">
        <f>201-400</f>
        <v>-199</v>
      </c>
      <c r="O69" s="4">
        <v>-784</v>
      </c>
      <c r="P69" s="4">
        <f>195-1515-O69</f>
        <v>-536</v>
      </c>
      <c r="Q69" s="4">
        <f>-2818+196-SUM(O69:P69)</f>
        <v>-1302</v>
      </c>
    </row>
    <row r="70" spans="2:24" x14ac:dyDescent="0.2">
      <c r="B70" s="3" t="s">
        <v>76</v>
      </c>
      <c r="N70" s="4">
        <v>-893</v>
      </c>
      <c r="O70" s="4">
        <v>-895</v>
      </c>
      <c r="P70" s="4">
        <f>-1790-O70</f>
        <v>-895</v>
      </c>
      <c r="Q70" s="4">
        <f>-2739-SUM(O70:P70)</f>
        <v>-949</v>
      </c>
    </row>
    <row r="71" spans="2:24" x14ac:dyDescent="0.2">
      <c r="B71" s="3" t="s">
        <v>77</v>
      </c>
      <c r="N71" s="4">
        <v>-22</v>
      </c>
      <c r="O71" s="4">
        <v>-370</v>
      </c>
      <c r="P71" s="4">
        <f>-515-O71</f>
        <v>-145</v>
      </c>
      <c r="Q71" s="4">
        <f>-797-SUM(O71:P71)</f>
        <v>-282</v>
      </c>
    </row>
    <row r="72" spans="2:24" x14ac:dyDescent="0.2">
      <c r="B72" s="3" t="s">
        <v>46</v>
      </c>
      <c r="N72" s="4">
        <v>-3</v>
      </c>
      <c r="O72" s="4">
        <v>8</v>
      </c>
      <c r="P72" s="4">
        <f>4-O72</f>
        <v>-4</v>
      </c>
      <c r="Q72" s="4">
        <f>-17-SUM(O72:P72)</f>
        <v>-21</v>
      </c>
    </row>
    <row r="73" spans="2:24" x14ac:dyDescent="0.2">
      <c r="B73" s="3" t="s">
        <v>78</v>
      </c>
      <c r="N73" s="4">
        <f>+SUM(N68:N72)</f>
        <v>-1117</v>
      </c>
      <c r="O73" s="4">
        <f>+SUM(O68:O72)</f>
        <v>-2041</v>
      </c>
      <c r="P73" s="4">
        <f>+SUM(P68:P72)</f>
        <v>-1580</v>
      </c>
      <c r="Q73" s="4">
        <f>+SUM(Q68:Q72)</f>
        <v>-3468</v>
      </c>
    </row>
    <row r="74" spans="2:24" x14ac:dyDescent="0.2">
      <c r="B74" s="3" t="s">
        <v>79</v>
      </c>
      <c r="N74" s="4">
        <v>-5</v>
      </c>
      <c r="O74" s="4">
        <v>15</v>
      </c>
      <c r="P74" s="4">
        <f>5-O74</f>
        <v>-10</v>
      </c>
      <c r="Q74" s="4">
        <f>-4-SUM(O74:P74)</f>
        <v>-9</v>
      </c>
    </row>
    <row r="75" spans="2:24" x14ac:dyDescent="0.2">
      <c r="B75" s="3" t="s">
        <v>80</v>
      </c>
      <c r="N75" s="4">
        <f>+N59+N66+N73+N74</f>
        <v>2350</v>
      </c>
      <c r="O75" s="4">
        <f>+O59+O66+O73+O74</f>
        <v>-333</v>
      </c>
      <c r="P75" s="4">
        <f>+P59+P66+P73+P74</f>
        <v>1025</v>
      </c>
      <c r="Q75" s="4">
        <f>+Q59+Q66+Q73+Q74</f>
        <v>-1432</v>
      </c>
    </row>
    <row r="77" spans="2:24" x14ac:dyDescent="0.2">
      <c r="B77" s="3" t="s">
        <v>81</v>
      </c>
      <c r="N77" s="4">
        <f>+N59+N61</f>
        <v>3797</v>
      </c>
      <c r="O77" s="4">
        <f>+O59+O61</f>
        <v>2735</v>
      </c>
      <c r="P77" s="4">
        <f>+P59+P61</f>
        <v>3370</v>
      </c>
      <c r="Q77" s="4">
        <f>+Q59+Q61</f>
        <v>2665</v>
      </c>
      <c r="R77" s="4">
        <v>3797</v>
      </c>
      <c r="V77" s="3">
        <f>+V59+V61</f>
        <v>6834</v>
      </c>
      <c r="W77" s="3">
        <f>+W59+W61</f>
        <v>9849</v>
      </c>
      <c r="X77" s="3">
        <f>SUM(O77:R77)</f>
        <v>12567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Hesselberth</dc:creator>
  <cp:lastModifiedBy>Dennis Hesselberth</cp:lastModifiedBy>
  <dcterms:created xsi:type="dcterms:W3CDTF">2024-09-22T12:35:10Z</dcterms:created>
  <dcterms:modified xsi:type="dcterms:W3CDTF">2024-09-23T15:01:29Z</dcterms:modified>
</cp:coreProperties>
</file>