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C70C5B62-619F-4793-B79B-D10CE21382D1}" xr6:coauthVersionLast="47" xr6:coauthVersionMax="47" xr10:uidLastSave="{00000000-0000-0000-0000-000000000000}"/>
  <bookViews>
    <workbookView xWindow="28680" yWindow="-120" windowWidth="29040" windowHeight="15840" activeTab="1" xr2:uid="{E6EAF9B8-82E1-4430-B62A-35639DB97A7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2" l="1"/>
  <c r="I48" i="2"/>
  <c r="H48" i="2"/>
  <c r="G48" i="2"/>
  <c r="F48" i="2"/>
  <c r="E48" i="2"/>
  <c r="I47" i="2"/>
  <c r="H47" i="2"/>
  <c r="G47" i="2"/>
  <c r="F47" i="2"/>
  <c r="E47" i="2"/>
  <c r="J47" i="2"/>
  <c r="L3" i="1"/>
  <c r="J28" i="2"/>
  <c r="I28" i="2"/>
  <c r="H28" i="2"/>
  <c r="G28" i="2"/>
  <c r="F28" i="2"/>
  <c r="E28" i="2"/>
  <c r="J71" i="2"/>
  <c r="J65" i="2"/>
  <c r="J59" i="2"/>
  <c r="J60" i="2" s="1"/>
  <c r="J41" i="2"/>
  <c r="J40" i="2"/>
  <c r="J35" i="2"/>
  <c r="J29" i="2"/>
  <c r="L5" i="1" s="1"/>
  <c r="J26" i="2"/>
  <c r="J20" i="2"/>
  <c r="J10" i="2"/>
  <c r="J6" i="2"/>
  <c r="J21" i="2" s="1"/>
  <c r="R20" i="2"/>
  <c r="Q20" i="2"/>
  <c r="P20" i="2"/>
  <c r="O20" i="2"/>
  <c r="I20" i="2"/>
  <c r="H20" i="2"/>
  <c r="G20" i="2"/>
  <c r="F20" i="2"/>
  <c r="E20" i="2"/>
  <c r="D20" i="2"/>
  <c r="C20" i="2"/>
  <c r="B20" i="2"/>
  <c r="J43" i="2" l="1"/>
  <c r="J74" i="2"/>
  <c r="J75" i="2"/>
  <c r="J72" i="2"/>
  <c r="J37" i="2"/>
  <c r="J11" i="2"/>
  <c r="S4" i="2"/>
  <c r="S26" i="2" s="1"/>
  <c r="AK25" i="2"/>
  <c r="S18" i="2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S9" i="2"/>
  <c r="S8" i="2"/>
  <c r="S7" i="2"/>
  <c r="S5" i="2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E54" i="2"/>
  <c r="C70" i="2"/>
  <c r="C69" i="2"/>
  <c r="D69" i="2" s="1"/>
  <c r="C68" i="2"/>
  <c r="C67" i="2"/>
  <c r="C64" i="2"/>
  <c r="D64" i="2" s="1"/>
  <c r="C63" i="2"/>
  <c r="C62" i="2"/>
  <c r="H55" i="2"/>
  <c r="I55" i="2" s="1"/>
  <c r="C59" i="2"/>
  <c r="C58" i="2"/>
  <c r="C57" i="2"/>
  <c r="C56" i="2"/>
  <c r="C53" i="2"/>
  <c r="D53" i="2" s="1"/>
  <c r="C52" i="2"/>
  <c r="D52" i="2" s="1"/>
  <c r="C51" i="2"/>
  <c r="D51" i="2" s="1"/>
  <c r="G70" i="2"/>
  <c r="G69" i="2"/>
  <c r="G68" i="2"/>
  <c r="G67" i="2"/>
  <c r="H67" i="2" s="1"/>
  <c r="G64" i="2"/>
  <c r="H64" i="2" s="1"/>
  <c r="G63" i="2"/>
  <c r="H63" i="2" s="1"/>
  <c r="G62" i="2"/>
  <c r="H62" i="2" s="1"/>
  <c r="G57" i="2"/>
  <c r="H57" i="2" s="1"/>
  <c r="G58" i="2"/>
  <c r="H58" i="2" s="1"/>
  <c r="G56" i="2"/>
  <c r="G53" i="2"/>
  <c r="G52" i="2"/>
  <c r="H52" i="2" s="1"/>
  <c r="G51" i="2"/>
  <c r="H51" i="2" s="1"/>
  <c r="B59" i="2"/>
  <c r="B60" i="2" s="1"/>
  <c r="B71" i="2"/>
  <c r="B65" i="2"/>
  <c r="F71" i="2"/>
  <c r="F65" i="2"/>
  <c r="F59" i="2"/>
  <c r="G59" i="2" s="1"/>
  <c r="F41" i="2"/>
  <c r="F40" i="2"/>
  <c r="F35" i="2"/>
  <c r="F29" i="2"/>
  <c r="G41" i="2"/>
  <c r="G40" i="2"/>
  <c r="G35" i="2"/>
  <c r="G29" i="2"/>
  <c r="H41" i="2"/>
  <c r="H40" i="2"/>
  <c r="H35" i="2"/>
  <c r="H29" i="2"/>
  <c r="E41" i="2"/>
  <c r="E40" i="2"/>
  <c r="E35" i="2"/>
  <c r="E29" i="2"/>
  <c r="I41" i="2"/>
  <c r="I40" i="2"/>
  <c r="I29" i="2"/>
  <c r="R28" i="2" s="1"/>
  <c r="I35" i="2"/>
  <c r="Q26" i="2"/>
  <c r="P26" i="2"/>
  <c r="R26" i="2"/>
  <c r="H26" i="2"/>
  <c r="G26" i="2"/>
  <c r="F26" i="2"/>
  <c r="I26" i="2"/>
  <c r="O10" i="2"/>
  <c r="O6" i="2"/>
  <c r="P10" i="2"/>
  <c r="P6" i="2"/>
  <c r="P21" i="2" s="1"/>
  <c r="Q10" i="2"/>
  <c r="Q6" i="2"/>
  <c r="R10" i="2"/>
  <c r="R6" i="2"/>
  <c r="R21" i="2" s="1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E10" i="2"/>
  <c r="E6" i="2"/>
  <c r="I10" i="2"/>
  <c r="I6" i="2"/>
  <c r="I21" i="2" s="1"/>
  <c r="B10" i="2"/>
  <c r="B6" i="2"/>
  <c r="B21" i="2" s="1"/>
  <c r="F10" i="2"/>
  <c r="F6" i="2"/>
  <c r="F21" i="2" s="1"/>
  <c r="C10" i="2"/>
  <c r="C6" i="2"/>
  <c r="G10" i="2"/>
  <c r="G6" i="2"/>
  <c r="G21" i="2" s="1"/>
  <c r="D10" i="2"/>
  <c r="D6" i="2"/>
  <c r="D21" i="2" s="1"/>
  <c r="H6" i="2"/>
  <c r="H21" i="2" s="1"/>
  <c r="H10" i="2"/>
  <c r="L4" i="1"/>
  <c r="L7" i="1" s="1"/>
  <c r="L9" i="1" s="1"/>
  <c r="J45" i="2" l="1"/>
  <c r="E43" i="2"/>
  <c r="F43" i="2"/>
  <c r="H37" i="2"/>
  <c r="H65" i="2"/>
  <c r="F37" i="2"/>
  <c r="F44" i="2" s="1"/>
  <c r="F45" i="2" s="1"/>
  <c r="I43" i="2"/>
  <c r="S6" i="2"/>
  <c r="S21" i="2" s="1"/>
  <c r="S20" i="2"/>
  <c r="S10" i="2"/>
  <c r="S11" i="2" s="1"/>
  <c r="J22" i="2"/>
  <c r="J14" i="2"/>
  <c r="H43" i="2"/>
  <c r="T7" i="2"/>
  <c r="D56" i="2"/>
  <c r="E56" i="2" s="1"/>
  <c r="D63" i="2"/>
  <c r="E63" i="2" s="1"/>
  <c r="D68" i="2"/>
  <c r="E68" i="2" s="1"/>
  <c r="D70" i="2"/>
  <c r="E70" i="2" s="1"/>
  <c r="I67" i="2"/>
  <c r="E37" i="2"/>
  <c r="E44" i="2" s="1"/>
  <c r="E45" i="2" s="1"/>
  <c r="G43" i="2"/>
  <c r="I52" i="2"/>
  <c r="G71" i="2"/>
  <c r="H70" i="2"/>
  <c r="I70" i="2" s="1"/>
  <c r="I57" i="2"/>
  <c r="C65" i="2"/>
  <c r="S12" i="2"/>
  <c r="AK23" i="2"/>
  <c r="F60" i="2"/>
  <c r="F75" i="2" s="1"/>
  <c r="H53" i="2"/>
  <c r="H68" i="2"/>
  <c r="I68" i="2" s="1"/>
  <c r="D57" i="2"/>
  <c r="E57" i="2" s="1"/>
  <c r="I58" i="2"/>
  <c r="I37" i="2"/>
  <c r="I44" i="2" s="1"/>
  <c r="I45" i="2" s="1"/>
  <c r="H69" i="2"/>
  <c r="I69" i="2" s="1"/>
  <c r="D58" i="2"/>
  <c r="E58" i="2" s="1"/>
  <c r="I62" i="2"/>
  <c r="E64" i="2"/>
  <c r="G37" i="2"/>
  <c r="H56" i="2"/>
  <c r="I56" i="2" s="1"/>
  <c r="D59" i="2"/>
  <c r="E59" i="2" s="1"/>
  <c r="I63" i="2"/>
  <c r="E51" i="2"/>
  <c r="I64" i="2"/>
  <c r="G65" i="2"/>
  <c r="D62" i="2"/>
  <c r="E53" i="2"/>
  <c r="E69" i="2"/>
  <c r="H59" i="2"/>
  <c r="I59" i="2" s="1"/>
  <c r="I51" i="2"/>
  <c r="T8" i="2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C71" i="2"/>
  <c r="E52" i="2"/>
  <c r="T9" i="2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D67" i="2"/>
  <c r="T4" i="2"/>
  <c r="C60" i="2"/>
  <c r="G60" i="2"/>
  <c r="B72" i="2"/>
  <c r="B75" i="2"/>
  <c r="B74" i="2"/>
  <c r="O11" i="2"/>
  <c r="O22" i="2" s="1"/>
  <c r="O21" i="2"/>
  <c r="H11" i="2"/>
  <c r="H22" i="2" s="1"/>
  <c r="P11" i="2"/>
  <c r="Q11" i="2"/>
  <c r="Q14" i="2" s="1"/>
  <c r="Q21" i="2"/>
  <c r="R11" i="2"/>
  <c r="E11" i="2"/>
  <c r="E22" i="2" s="1"/>
  <c r="E21" i="2"/>
  <c r="I11" i="2"/>
  <c r="B11" i="2"/>
  <c r="F11" i="2"/>
  <c r="C11" i="2"/>
  <c r="C14" i="2" s="1"/>
  <c r="C21" i="2"/>
  <c r="G11" i="2"/>
  <c r="D11" i="2"/>
  <c r="H44" i="2" l="1"/>
  <c r="H45" i="2" s="1"/>
  <c r="G44" i="2"/>
  <c r="G45" i="2" s="1"/>
  <c r="U7" i="2"/>
  <c r="V7" i="2" s="1"/>
  <c r="T20" i="2"/>
  <c r="H60" i="2"/>
  <c r="H75" i="2" s="1"/>
  <c r="C72" i="2"/>
  <c r="J24" i="2"/>
  <c r="J16" i="2"/>
  <c r="J50" i="2" s="1"/>
  <c r="D71" i="2"/>
  <c r="U4" i="2"/>
  <c r="T26" i="2"/>
  <c r="T10" i="2"/>
  <c r="I71" i="2"/>
  <c r="F74" i="2"/>
  <c r="I53" i="2"/>
  <c r="I60" i="2" s="1"/>
  <c r="I65" i="2"/>
  <c r="D65" i="2"/>
  <c r="E62" i="2"/>
  <c r="E65" i="2" s="1"/>
  <c r="H71" i="2"/>
  <c r="H72" i="2" s="1"/>
  <c r="E60" i="2"/>
  <c r="C75" i="2"/>
  <c r="C74" i="2"/>
  <c r="G74" i="2"/>
  <c r="G75" i="2"/>
  <c r="F72" i="2"/>
  <c r="D60" i="2"/>
  <c r="E67" i="2"/>
  <c r="E71" i="2" s="1"/>
  <c r="G72" i="2"/>
  <c r="T6" i="2"/>
  <c r="S22" i="2"/>
  <c r="S14" i="2"/>
  <c r="H14" i="2"/>
  <c r="H24" i="2" s="1"/>
  <c r="O14" i="2"/>
  <c r="O16" i="2" s="1"/>
  <c r="Q22" i="2"/>
  <c r="D14" i="2"/>
  <c r="D22" i="2"/>
  <c r="P22" i="2"/>
  <c r="P14" i="2"/>
  <c r="Q24" i="2"/>
  <c r="Q16" i="2"/>
  <c r="R22" i="2"/>
  <c r="R14" i="2"/>
  <c r="E14" i="2"/>
  <c r="E24" i="2" s="1"/>
  <c r="I14" i="2"/>
  <c r="I22" i="2"/>
  <c r="B14" i="2"/>
  <c r="B22" i="2"/>
  <c r="F22" i="2"/>
  <c r="F14" i="2"/>
  <c r="C22" i="2"/>
  <c r="C24" i="2"/>
  <c r="C16" i="2"/>
  <c r="C50" i="2" s="1"/>
  <c r="G22" i="2"/>
  <c r="G14" i="2"/>
  <c r="H74" i="2" l="1"/>
  <c r="U10" i="2"/>
  <c r="D72" i="2"/>
  <c r="U20" i="2"/>
  <c r="J23" i="2"/>
  <c r="J17" i="2"/>
  <c r="V4" i="2"/>
  <c r="V20" i="2" s="1"/>
  <c r="U26" i="2"/>
  <c r="W7" i="2"/>
  <c r="V10" i="2"/>
  <c r="E75" i="2"/>
  <c r="H77" i="2" s="1"/>
  <c r="E74" i="2"/>
  <c r="E72" i="2"/>
  <c r="D75" i="2"/>
  <c r="D74" i="2"/>
  <c r="I74" i="2"/>
  <c r="I75" i="2"/>
  <c r="I77" i="2" s="1"/>
  <c r="I72" i="2"/>
  <c r="U6" i="2"/>
  <c r="T21" i="2"/>
  <c r="T11" i="2"/>
  <c r="S15" i="2"/>
  <c r="S24" i="2" s="1"/>
  <c r="H16" i="2"/>
  <c r="H50" i="2" s="1"/>
  <c r="O24" i="2"/>
  <c r="O17" i="2"/>
  <c r="O23" i="2"/>
  <c r="D16" i="2"/>
  <c r="D50" i="2" s="1"/>
  <c r="D24" i="2"/>
  <c r="P24" i="2"/>
  <c r="P16" i="2"/>
  <c r="Q23" i="2"/>
  <c r="Q17" i="2"/>
  <c r="R24" i="2"/>
  <c r="R16" i="2"/>
  <c r="E16" i="2"/>
  <c r="I24" i="2"/>
  <c r="I16" i="2"/>
  <c r="I50" i="2" s="1"/>
  <c r="B24" i="2"/>
  <c r="B16" i="2"/>
  <c r="B50" i="2" s="1"/>
  <c r="F24" i="2"/>
  <c r="F16" i="2"/>
  <c r="F50" i="2" s="1"/>
  <c r="C23" i="2"/>
  <c r="C17" i="2"/>
  <c r="G24" i="2"/>
  <c r="G16" i="2"/>
  <c r="G50" i="2" s="1"/>
  <c r="G77" i="2" l="1"/>
  <c r="J77" i="2"/>
  <c r="E77" i="2"/>
  <c r="F77" i="2"/>
  <c r="H23" i="2"/>
  <c r="H17" i="2"/>
  <c r="W4" i="2"/>
  <c r="W20" i="2" s="1"/>
  <c r="V26" i="2"/>
  <c r="E17" i="2"/>
  <c r="E50" i="2"/>
  <c r="X7" i="2"/>
  <c r="W10" i="2"/>
  <c r="S16" i="2"/>
  <c r="V6" i="2"/>
  <c r="T22" i="2"/>
  <c r="U21" i="2"/>
  <c r="U11" i="2"/>
  <c r="D17" i="2"/>
  <c r="D23" i="2"/>
  <c r="P17" i="2"/>
  <c r="P23" i="2"/>
  <c r="R23" i="2"/>
  <c r="R17" i="2"/>
  <c r="E23" i="2"/>
  <c r="I23" i="2"/>
  <c r="I17" i="2"/>
  <c r="B23" i="2"/>
  <c r="B17" i="2"/>
  <c r="F23" i="2"/>
  <c r="F17" i="2"/>
  <c r="G23" i="2"/>
  <c r="G17" i="2"/>
  <c r="S28" i="2" l="1"/>
  <c r="T12" i="2" s="1"/>
  <c r="T14" i="2" s="1"/>
  <c r="T15" i="2" s="1"/>
  <c r="S23" i="2"/>
  <c r="S17" i="2"/>
  <c r="X4" i="2"/>
  <c r="X20" i="2" s="1"/>
  <c r="W26" i="2"/>
  <c r="Y7" i="2"/>
  <c r="X10" i="2"/>
  <c r="U22" i="2"/>
  <c r="T16" i="2"/>
  <c r="T24" i="2"/>
  <c r="V21" i="2"/>
  <c r="V11" i="2"/>
  <c r="W6" i="2"/>
  <c r="Y4" i="2" l="1"/>
  <c r="Y20" i="2" s="1"/>
  <c r="X26" i="2"/>
  <c r="Z7" i="2"/>
  <c r="Y10" i="2"/>
  <c r="W21" i="2"/>
  <c r="W11" i="2"/>
  <c r="T23" i="2"/>
  <c r="T17" i="2"/>
  <c r="X6" i="2"/>
  <c r="V22" i="2"/>
  <c r="T28" i="2"/>
  <c r="U12" i="2" s="1"/>
  <c r="U14" i="2" s="1"/>
  <c r="U15" i="2" s="1"/>
  <c r="U24" i="2" s="1"/>
  <c r="Z4" i="2" l="1"/>
  <c r="Z20" i="2" s="1"/>
  <c r="Y26" i="2"/>
  <c r="AA7" i="2"/>
  <c r="Z10" i="2"/>
  <c r="X21" i="2"/>
  <c r="X11" i="2"/>
  <c r="U16" i="2"/>
  <c r="Y6" i="2"/>
  <c r="W22" i="2"/>
  <c r="U28" i="2" l="1"/>
  <c r="AA4" i="2"/>
  <c r="AA20" i="2" s="1"/>
  <c r="Z26" i="2"/>
  <c r="AB7" i="2"/>
  <c r="AA10" i="2"/>
  <c r="V12" i="2"/>
  <c r="V14" i="2" s="1"/>
  <c r="Y11" i="2"/>
  <c r="Y21" i="2"/>
  <c r="Z6" i="2"/>
  <c r="U23" i="2"/>
  <c r="U17" i="2"/>
  <c r="X22" i="2"/>
  <c r="AB4" i="2" l="1"/>
  <c r="AB20" i="2" s="1"/>
  <c r="AA26" i="2"/>
  <c r="AC7" i="2"/>
  <c r="AB10" i="2"/>
  <c r="V15" i="2"/>
  <c r="V24" i="2" s="1"/>
  <c r="AA6" i="2"/>
  <c r="Z21" i="2"/>
  <c r="Z11" i="2"/>
  <c r="Y22" i="2"/>
  <c r="AC4" i="2" l="1"/>
  <c r="AC20" i="2" s="1"/>
  <c r="AB26" i="2"/>
  <c r="V16" i="2"/>
  <c r="AD7" i="2"/>
  <c r="AC10" i="2"/>
  <c r="V28" i="2"/>
  <c r="W12" i="2" s="1"/>
  <c r="W14" i="2" s="1"/>
  <c r="V23" i="2"/>
  <c r="V17" i="2"/>
  <c r="AB6" i="2"/>
  <c r="Z22" i="2"/>
  <c r="AA21" i="2"/>
  <c r="AA11" i="2"/>
  <c r="AD4" i="2" l="1"/>
  <c r="AD20" i="2" s="1"/>
  <c r="AC26" i="2"/>
  <c r="AE7" i="2"/>
  <c r="AD10" i="2"/>
  <c r="W15" i="2"/>
  <c r="W24" i="2" s="1"/>
  <c r="AA22" i="2"/>
  <c r="AB11" i="2"/>
  <c r="AB21" i="2"/>
  <c r="AC6" i="2"/>
  <c r="AE4" i="2" l="1"/>
  <c r="AE20" i="2" s="1"/>
  <c r="AD26" i="2"/>
  <c r="W16" i="2"/>
  <c r="W28" i="2" s="1"/>
  <c r="X12" i="2" s="1"/>
  <c r="X14" i="2" s="1"/>
  <c r="AF7" i="2"/>
  <c r="AE10" i="2"/>
  <c r="W23" i="2"/>
  <c r="W17" i="2"/>
  <c r="AD6" i="2"/>
  <c r="AC21" i="2"/>
  <c r="AC11" i="2"/>
  <c r="AB22" i="2"/>
  <c r="AF4" i="2" l="1"/>
  <c r="AF20" i="2" s="1"/>
  <c r="AE26" i="2"/>
  <c r="AG7" i="2"/>
  <c r="AF10" i="2"/>
  <c r="X15" i="2"/>
  <c r="X24" i="2" s="1"/>
  <c r="AC22" i="2"/>
  <c r="AD21" i="2"/>
  <c r="AD11" i="2"/>
  <c r="AE6" i="2"/>
  <c r="AG4" i="2" l="1"/>
  <c r="AG20" i="2" s="1"/>
  <c r="AF26" i="2"/>
  <c r="X16" i="2"/>
  <c r="X28" i="2" s="1"/>
  <c r="Y12" i="2" s="1"/>
  <c r="Y14" i="2" s="1"/>
  <c r="AH7" i="2"/>
  <c r="AG10" i="2"/>
  <c r="X23" i="2"/>
  <c r="X17" i="2"/>
  <c r="AF6" i="2"/>
  <c r="AD22" i="2"/>
  <c r="AE21" i="2"/>
  <c r="AE11" i="2"/>
  <c r="AH10" i="2" l="1"/>
  <c r="AH4" i="2"/>
  <c r="AH26" i="2" s="1"/>
  <c r="AG26" i="2"/>
  <c r="Y15" i="2"/>
  <c r="Y24" i="2" s="1"/>
  <c r="Y16" i="2"/>
  <c r="AE22" i="2"/>
  <c r="AF21" i="2"/>
  <c r="AF11" i="2"/>
  <c r="AG6" i="2"/>
  <c r="AH20" i="2" l="1"/>
  <c r="Y28" i="2"/>
  <c r="Z12" i="2" s="1"/>
  <c r="Z14" i="2" s="1"/>
  <c r="Y23" i="2"/>
  <c r="Y17" i="2"/>
  <c r="AG21" i="2"/>
  <c r="AG11" i="2"/>
  <c r="AH6" i="2"/>
  <c r="AF22" i="2"/>
  <c r="Z15" i="2" l="1"/>
  <c r="Z24" i="2" s="1"/>
  <c r="AH21" i="2"/>
  <c r="AH11" i="2"/>
  <c r="AG22" i="2"/>
  <c r="Z16" i="2" l="1"/>
  <c r="Z17" i="2" s="1"/>
  <c r="AH22" i="2"/>
  <c r="Z23" i="2" l="1"/>
  <c r="Z28" i="2"/>
  <c r="AA12" i="2" s="1"/>
  <c r="AA14" i="2" s="1"/>
  <c r="AA15" i="2" s="1"/>
  <c r="AA24" i="2" s="1"/>
  <c r="AA16" i="2" l="1"/>
  <c r="AA28" i="2" s="1"/>
  <c r="AA23" i="2" l="1"/>
  <c r="AA17" i="2"/>
  <c r="AB12" i="2"/>
  <c r="AB14" i="2" s="1"/>
  <c r="AB15" i="2" l="1"/>
  <c r="AB24" i="2" s="1"/>
  <c r="AB16" i="2" l="1"/>
  <c r="AB17" i="2" s="1"/>
  <c r="AB23" i="2" l="1"/>
  <c r="AB28" i="2"/>
  <c r="AC12" i="2" s="1"/>
  <c r="AC14" i="2" s="1"/>
  <c r="AC15" i="2" l="1"/>
  <c r="AC24" i="2" s="1"/>
  <c r="AC16" i="2" l="1"/>
  <c r="AC23" i="2" s="1"/>
  <c r="AC17" i="2" l="1"/>
  <c r="AC28" i="2"/>
  <c r="AD12" i="2" s="1"/>
  <c r="AD14" i="2" s="1"/>
  <c r="AD15" i="2" s="1"/>
  <c r="AD24" i="2" s="1"/>
  <c r="AD16" i="2" l="1"/>
  <c r="AD28" i="2" l="1"/>
  <c r="AE12" i="2" s="1"/>
  <c r="AE14" i="2" s="1"/>
  <c r="AD23" i="2"/>
  <c r="AD17" i="2"/>
  <c r="AE15" i="2" l="1"/>
  <c r="AE24" i="2" s="1"/>
  <c r="AE16" i="2" l="1"/>
  <c r="AE28" i="2" l="1"/>
  <c r="AE23" i="2"/>
  <c r="AE17" i="2"/>
  <c r="AF12" i="2" l="1"/>
  <c r="AF14" i="2" s="1"/>
  <c r="AF15" i="2" l="1"/>
  <c r="AF24" i="2" s="1"/>
  <c r="AF16" i="2" l="1"/>
  <c r="AF17" i="2" s="1"/>
  <c r="AF23" i="2" l="1"/>
  <c r="AF28" i="2"/>
  <c r="AG12" i="2" s="1"/>
  <c r="AG14" i="2" s="1"/>
  <c r="AG15" i="2" s="1"/>
  <c r="AG24" i="2" s="1"/>
  <c r="AG16" i="2" l="1"/>
  <c r="AG17" i="2" s="1"/>
  <c r="AG28" i="2" l="1"/>
  <c r="AH12" i="2" s="1"/>
  <c r="AH14" i="2" s="1"/>
  <c r="AG23" i="2"/>
  <c r="AH15" i="2" l="1"/>
  <c r="AH24" i="2" s="1"/>
  <c r="AH16" i="2" l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AK22" i="2" s="1"/>
  <c r="AK24" i="2" l="1"/>
  <c r="AH28" i="2"/>
  <c r="AH23" i="2"/>
  <c r="AH17" i="2"/>
  <c r="AK26" i="2" l="1"/>
  <c r="AK27" i="2" s="1"/>
</calcChain>
</file>

<file path=xl/sharedStrings.xml><?xml version="1.0" encoding="utf-8"?>
<sst xmlns="http://schemas.openxmlformats.org/spreadsheetml/2006/main" count="100" uniqueCount="88">
  <si>
    <t>Qualys</t>
  </si>
  <si>
    <t>(QLYS)</t>
  </si>
  <si>
    <t>(in millions)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</si>
  <si>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</si>
  <si>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</si>
  <si>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</si>
  <si>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</si>
  <si>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</si>
  <si>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</si>
  <si>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</si>
  <si>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</si>
  <si>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</si>
  <si>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</si>
  <si>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</si>
  <si>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</si>
  <si>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</si>
  <si>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</si>
  <si>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</si>
  <si>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</si>
  <si>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</si>
  <si>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</si>
  <si>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</si>
  <si>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</si>
  <si>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</si>
  <si>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</si>
  <si>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</si>
  <si>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</si>
  <si>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</si>
  <si>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</si>
  <si>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</t>
  </si>
  <si>
    <t>Other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</si>
  <si>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</si>
  <si>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</si>
  <si>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</si>
  <si>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</si>
  <si>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</si>
  <si>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</si>
  <si>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</si>
  <si>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 rate</t>
  </si>
  <si>
    <t>Revenue y/y</t>
  </si>
  <si>
    <t>Net cash</t>
  </si>
  <si>
    <t>A/R</t>
  </si>
  <si>
    <t>Prepaid</t>
  </si>
  <si>
    <t>PP&amp;E</t>
  </si>
  <si>
    <t>Lease</t>
  </si>
  <si>
    <t>DT</t>
  </si>
  <si>
    <t>Goodwill</t>
  </si>
  <si>
    <t>Total assets</t>
  </si>
  <si>
    <t>A/P</t>
  </si>
  <si>
    <t>Accrued liabilities</t>
  </si>
  <si>
    <t>D/R</t>
  </si>
  <si>
    <t>OA</t>
  </si>
  <si>
    <t>OL</t>
  </si>
  <si>
    <t>Total liabilities</t>
  </si>
  <si>
    <t>S/E</t>
  </si>
  <si>
    <t>L+S/E</t>
  </si>
  <si>
    <t>Model NI</t>
  </si>
  <si>
    <t>Reported NI</t>
  </si>
  <si>
    <t>D&amp;A</t>
  </si>
  <si>
    <t>Provision</t>
  </si>
  <si>
    <t>Disposal</t>
  </si>
  <si>
    <t>SBC</t>
  </si>
  <si>
    <t>Securities</t>
  </si>
  <si>
    <t>Working capital</t>
  </si>
  <si>
    <t>CFFO</t>
  </si>
  <si>
    <t>Purchase securities</t>
  </si>
  <si>
    <t>Sales securities</t>
  </si>
  <si>
    <t>CapEx</t>
  </si>
  <si>
    <t>CFFI</t>
  </si>
  <si>
    <t>Buybacks</t>
  </si>
  <si>
    <t>Stock options</t>
  </si>
  <si>
    <t>CFFF</t>
  </si>
  <si>
    <t>CIC</t>
  </si>
  <si>
    <t>CFFO+CapEx</t>
  </si>
  <si>
    <t>CFFO+CapEx-SBC</t>
  </si>
  <si>
    <t>Loss on securities</t>
  </si>
  <si>
    <t>ROIC</t>
  </si>
  <si>
    <t>Discount rate</t>
  </si>
  <si>
    <t>NPV</t>
  </si>
  <si>
    <t>Total value</t>
  </si>
  <si>
    <t>Price share</t>
  </si>
  <si>
    <t>Current price</t>
  </si>
  <si>
    <t>R&amp;D margin</t>
  </si>
  <si>
    <t>FCF TTM</t>
  </si>
  <si>
    <t>ESOP</t>
  </si>
  <si>
    <t>Terminal value</t>
  </si>
  <si>
    <t>Upside</t>
  </si>
  <si>
    <t>Cash flow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</si>
</sst>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#,##0_ ;[Red]\-#,##0\ 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1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0</xdr:row>
      <xdr:rowOff>57150</xdr:rowOff>
    </xdr:from>
    <xdr:to>
      <xdr:col>18</xdr:col>
      <xdr:colOff>28575</xdr:colOff>
      <xdr:row>76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C556249-CFAA-72E2-02D7-723CC65CF0A9}"/>
            </a:ext>
          </a:extLst>
        </xdr:cNvPr>
        <xdr:cNvCxnSpPr/>
      </xdr:nvCxnSpPr>
      <xdr:spPr>
        <a:xfrm>
          <a:off x="12153900" y="57150"/>
          <a:ext cx="0" cy="1288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0</xdr:row>
      <xdr:rowOff>19050</xdr:rowOff>
    </xdr:from>
    <xdr:to>
      <xdr:col>10</xdr:col>
      <xdr:colOff>19050</xdr:colOff>
      <xdr:row>76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BA05162-4BB6-4543-AB54-A40D0F6C93C2}"/>
            </a:ext>
          </a:extLst>
        </xdr:cNvPr>
        <xdr:cNvCxnSpPr/>
      </xdr:nvCxnSpPr>
      <xdr:spPr>
        <a:xfrm>
          <a:off x="7267575" y="19050"/>
          <a:ext cx="0" cy="1304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4A9F-5677-4F41-AA7F-7E58FE699B55}">
  <dimension ref="A1:M9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defaultRowHeight="12.75" x14ac:dyDescent="0.2"/>
  <cols>
    <col min="1" max="1" width="18.42578125" style="3" bestFit="1" customWidth="1"/>
    <col min="2" max="16384" width="9.140625" style="3"/>
  </cols>
  <sheetData>
    <row r="1" spans="1:13" ht="34.5" x14ac:dyDescent="0.45">
      <c r="A1" s="2" t="s">
        <v>0</v>
      </c>
    </row>
    <row r="2" spans="1:13" x14ac:dyDescent="0.2">
      <c r="A2" s="3" t="s">
        <v>1</v>
      </c>
      <c r="K2" s="3" t="s">
        <v>3</v>
      </c>
      <c r="L2" s="3">
        <v>142</v>
      </c>
    </row>
    <row r="3" spans="1:13" x14ac:dyDescent="0.2">
      <c r="A3" s="3" t="s">
        <v>2</v>
      </c>
      <c r="K3" s="3" t="s">
        <v>4</v>
      </c>
      <c r="L3" s="3">
        <f>+Model!J18</f>
        <v>37.722999999999999</v>
      </c>
      <c r="M3" s="7" t="s">
        <v>17</v>
      </c>
    </row>
    <row r="4" spans="1:13" x14ac:dyDescent="0.2">
      <c r="K4" s="3" t="s">
        <v>5</v>
      </c>
      <c r="L4" s="3">
        <f>+L3*L2</f>
        <v>5356.6660000000002</v>
      </c>
      <c r="M4" s="7"/>
    </row>
    <row r="5" spans="1:13" x14ac:dyDescent="0.2">
      <c r="K5" s="3" t="s">
        <v>6</v>
      </c>
      <c r="L5" s="3">
        <f>+Model!J29</f>
        <v>544.5630000000001</v>
      </c>
      <c r="M5" s="7" t="s">
        <v>17</v>
      </c>
    </row>
    <row r="6" spans="1:13" x14ac:dyDescent="0.2">
      <c r="K6" s="3" t="s">
        <v>7</v>
      </c>
      <c r="L6" s="3">
        <v>0</v>
      </c>
      <c r="M6" s="7" t="s">
        <v>17</v>
      </c>
    </row>
    <row r="7" spans="1:13" x14ac:dyDescent="0.2">
      <c r="K7" s="3" t="s">
        <v>8</v>
      </c>
      <c r="L7" s="3">
        <f>+L4-L5</f>
        <v>4812.1030000000001</v>
      </c>
    </row>
    <row r="8" spans="1:13" x14ac:dyDescent="0.2">
      <c r="L8" s="3">
        <v>184</v>
      </c>
    </row>
    <row r="9" spans="1:13" x14ac:dyDescent="0.2">
      <c r="L9" s="17">
        <f>+L7/L8</f>
        <v>26.152733695652174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7DDD-DDE9-4C34-9813-726F5D2E8C62}">
  <dimension ref="A1:ED77"/>
  <sheetViews>
    <sheetView tabSelected="1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L11" sqref="L11"/>
    </sheetView>
  </sheetViews>
  <sheetFormatPr defaultRowHeight="12.75" x14ac:dyDescent="0.2"/>
  <cols>
    <col min="1" max="1" width="18.42578125" bestFit="1" customWidth="1"/>
    <col min="2" max="9" width="10.140625" style="7" bestFit="1" customWidth="1"/>
    <col min="10" max="13" width="9.140625" style="7"/>
    <col min="14" max="34" width="9.140625" style="8"/>
    <col min="35" max="35" width="9.140625" style="8" customWidth="1"/>
    <col min="36" max="36" width="12.5703125" style="8" bestFit="1" customWidth="1"/>
    <col min="37" max="37" width="9.7109375" style="8" bestFit="1" customWidth="1"/>
    <col min="38" max="113" width="9.28515625" style="8" bestFit="1" customWidth="1"/>
    <col min="114" max="134" width="10.140625" style="8" bestFit="1" customWidth="1"/>
    <col min="135" max="16384" width="9.140625" style="8"/>
  </cols>
  <sheetData>
    <row r="1" spans="1:134" ht="34.5" x14ac:dyDescent="0.45">
      <c r="A1" s="1" t="s">
        <v>0</v>
      </c>
    </row>
    <row r="2" spans="1:134" s="9" customFormat="1" x14ac:dyDescent="0.2">
      <c r="A2" s="6" t="s">
        <v>1</v>
      </c>
      <c r="B2" s="9">
        <v>44651</v>
      </c>
      <c r="C2" s="9">
        <v>44772</v>
      </c>
      <c r="D2" s="9">
        <v>44834</v>
      </c>
      <c r="E2" s="9">
        <v>44926</v>
      </c>
      <c r="F2" s="9">
        <v>45016</v>
      </c>
      <c r="G2" s="9">
        <v>45137</v>
      </c>
      <c r="H2" s="9">
        <v>45199</v>
      </c>
      <c r="I2" s="9">
        <v>45291</v>
      </c>
      <c r="J2" s="9">
        <v>45382</v>
      </c>
    </row>
    <row r="3" spans="1:134" x14ac:dyDescent="0.2">
      <c r="A3" t="s">
        <v>2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  <c r="O3" s="8">
        <v>2020</v>
      </c>
      <c r="P3" s="8">
        <v>2021</v>
      </c>
      <c r="Q3" s="8">
        <v>2022</v>
      </c>
      <c r="R3" s="8">
        <v>2023</v>
      </c>
      <c r="S3" s="8">
        <v>2024</v>
      </c>
      <c r="T3" s="8">
        <f>+S3+1</f>
        <v>2025</v>
      </c>
      <c r="U3" s="8">
        <f t="shared" ref="U3:AH3" si="0">+T3+1</f>
        <v>2026</v>
      </c>
      <c r="V3" s="8">
        <f t="shared" si="0"/>
        <v>2027</v>
      </c>
      <c r="W3" s="8">
        <f t="shared" si="0"/>
        <v>2028</v>
      </c>
      <c r="X3" s="8">
        <f t="shared" si="0"/>
        <v>2029</v>
      </c>
      <c r="Y3" s="8">
        <f t="shared" si="0"/>
        <v>2030</v>
      </c>
      <c r="Z3" s="8">
        <f t="shared" si="0"/>
        <v>2031</v>
      </c>
      <c r="AA3" s="8">
        <f t="shared" si="0"/>
        <v>2032</v>
      </c>
      <c r="AB3" s="8">
        <f t="shared" si="0"/>
        <v>2033</v>
      </c>
      <c r="AC3" s="8">
        <f t="shared" si="0"/>
        <v>2034</v>
      </c>
      <c r="AD3" s="8">
        <f t="shared" si="0"/>
        <v>2035</v>
      </c>
      <c r="AE3" s="8">
        <f t="shared" si="0"/>
        <v>2036</v>
      </c>
      <c r="AF3" s="8">
        <f t="shared" si="0"/>
        <v>2037</v>
      </c>
      <c r="AG3" s="8">
        <f t="shared" si="0"/>
        <v>2038</v>
      </c>
      <c r="AH3" s="8">
        <f t="shared" si="0"/>
        <v>2039</v>
      </c>
    </row>
    <row r="4" spans="1:134" s="14" customFormat="1" x14ac:dyDescent="0.2">
      <c r="A4" s="12" t="s">
        <v>21</v>
      </c>
      <c r="B4" s="13">
        <v>113.42</v>
      </c>
      <c r="C4" s="13">
        <v>119.893</v>
      </c>
      <c r="D4" s="13">
        <v>125.56100000000001</v>
      </c>
      <c r="E4" s="13">
        <v>130.84899999999999</v>
      </c>
      <c r="F4" s="13">
        <v>130.68299999999999</v>
      </c>
      <c r="G4" s="13">
        <v>137.209</v>
      </c>
      <c r="H4" s="13">
        <v>141.99600000000001</v>
      </c>
      <c r="I4" s="13">
        <v>144.57</v>
      </c>
      <c r="J4" s="13">
        <v>145.80500000000001</v>
      </c>
      <c r="K4" s="13"/>
      <c r="L4" s="13"/>
      <c r="M4" s="13"/>
      <c r="N4" s="13"/>
      <c r="O4" s="13">
        <v>362.96300000000002</v>
      </c>
      <c r="P4" s="13">
        <v>411.17200000000003</v>
      </c>
      <c r="Q4" s="13">
        <v>489.72300000000001</v>
      </c>
      <c r="R4" s="13">
        <v>554.45799999999997</v>
      </c>
      <c r="S4" s="13">
        <f>+R4*1.1</f>
        <v>609.90380000000005</v>
      </c>
      <c r="T4" s="13">
        <f t="shared" ref="T4:AH4" si="1">+S4*1.1</f>
        <v>670.89418000000012</v>
      </c>
      <c r="U4" s="13">
        <f t="shared" si="1"/>
        <v>737.98359800000014</v>
      </c>
      <c r="V4" s="13">
        <f t="shared" si="1"/>
        <v>811.78195780000021</v>
      </c>
      <c r="W4" s="13">
        <f t="shared" si="1"/>
        <v>892.96015358000034</v>
      </c>
      <c r="X4" s="13">
        <f t="shared" si="1"/>
        <v>982.25616893800043</v>
      </c>
      <c r="Y4" s="13">
        <f t="shared" si="1"/>
        <v>1080.4817858318006</v>
      </c>
      <c r="Z4" s="13">
        <f t="shared" si="1"/>
        <v>1188.5299644149807</v>
      </c>
      <c r="AA4" s="13">
        <f t="shared" si="1"/>
        <v>1307.3829608564788</v>
      </c>
      <c r="AB4" s="13">
        <f t="shared" si="1"/>
        <v>1438.1212569421268</v>
      </c>
      <c r="AC4" s="13">
        <f t="shared" si="1"/>
        <v>1581.9333826363397</v>
      </c>
      <c r="AD4" s="13">
        <f t="shared" si="1"/>
        <v>1740.1267208999739</v>
      </c>
      <c r="AE4" s="13">
        <f t="shared" si="1"/>
        <v>1914.1393929899714</v>
      </c>
      <c r="AF4" s="13">
        <f t="shared" si="1"/>
        <v>2105.5533322889687</v>
      </c>
      <c r="AG4" s="13">
        <f t="shared" si="1"/>
        <v>2316.1086655178656</v>
      </c>
      <c r="AH4" s="13">
        <f t="shared" si="1"/>
        <v>2547.7195320696524</v>
      </c>
    </row>
    <row r="5" spans="1:134" x14ac:dyDescent="0.2">
      <c r="A5" t="s">
        <v>22</v>
      </c>
      <c r="B5" s="7">
        <v>24.001999999999999</v>
      </c>
      <c r="C5" s="7">
        <v>25.045999999999999</v>
      </c>
      <c r="D5" s="7">
        <v>25.992000000000001</v>
      </c>
      <c r="E5" s="7">
        <v>27.748000000000001</v>
      </c>
      <c r="F5" s="7">
        <v>26.954000000000001</v>
      </c>
      <c r="G5" s="7">
        <v>26.661999999999999</v>
      </c>
      <c r="H5" s="7">
        <v>26.739000000000001</v>
      </c>
      <c r="I5" s="7">
        <v>27.13</v>
      </c>
      <c r="J5" s="7">
        <v>27.198</v>
      </c>
      <c r="N5" s="7"/>
      <c r="O5" s="7">
        <v>79.225999999999999</v>
      </c>
      <c r="P5" s="7">
        <v>89.438999999999993</v>
      </c>
      <c r="Q5" s="7">
        <v>102.788</v>
      </c>
      <c r="R5" s="7">
        <v>107.485</v>
      </c>
      <c r="S5" s="7">
        <f>+R5*1.05</f>
        <v>112.85925</v>
      </c>
      <c r="T5" s="7">
        <f t="shared" ref="T5:AH5" si="2">+S5*1.05</f>
        <v>118.50221250000001</v>
      </c>
      <c r="U5" s="7">
        <f t="shared" si="2"/>
        <v>124.42732312500002</v>
      </c>
      <c r="V5" s="7">
        <f t="shared" si="2"/>
        <v>130.64868928125003</v>
      </c>
      <c r="W5" s="7">
        <f t="shared" si="2"/>
        <v>137.18112374531253</v>
      </c>
      <c r="X5" s="7">
        <f t="shared" si="2"/>
        <v>144.04017993257816</v>
      </c>
      <c r="Y5" s="7">
        <f t="shared" si="2"/>
        <v>151.24218892920706</v>
      </c>
      <c r="Z5" s="7">
        <f t="shared" si="2"/>
        <v>158.80429837566743</v>
      </c>
      <c r="AA5" s="7">
        <f t="shared" si="2"/>
        <v>166.7445132944508</v>
      </c>
      <c r="AB5" s="7">
        <f t="shared" si="2"/>
        <v>175.08173895917335</v>
      </c>
      <c r="AC5" s="7">
        <f t="shared" si="2"/>
        <v>183.83582590713203</v>
      </c>
      <c r="AD5" s="7">
        <f t="shared" si="2"/>
        <v>193.02761720248864</v>
      </c>
      <c r="AE5" s="7">
        <f t="shared" si="2"/>
        <v>202.67899806261309</v>
      </c>
      <c r="AF5" s="7">
        <f t="shared" si="2"/>
        <v>212.81294796574375</v>
      </c>
      <c r="AG5" s="7">
        <f t="shared" si="2"/>
        <v>223.45359536403095</v>
      </c>
      <c r="AH5" s="7">
        <f t="shared" si="2"/>
        <v>234.62627513223251</v>
      </c>
    </row>
    <row r="6" spans="1:134" x14ac:dyDescent="0.2">
      <c r="A6" t="s">
        <v>23</v>
      </c>
      <c r="B6" s="7">
        <f t="shared" ref="B6:I6" si="3">+B4-B5</f>
        <v>89.418000000000006</v>
      </c>
      <c r="C6" s="7">
        <f t="shared" si="3"/>
        <v>94.847000000000008</v>
      </c>
      <c r="D6" s="7">
        <f t="shared" si="3"/>
        <v>99.569000000000003</v>
      </c>
      <c r="E6" s="7">
        <f t="shared" si="3"/>
        <v>103.10099999999998</v>
      </c>
      <c r="F6" s="7">
        <f t="shared" si="3"/>
        <v>103.72899999999998</v>
      </c>
      <c r="G6" s="7">
        <f t="shared" si="3"/>
        <v>110.547</v>
      </c>
      <c r="H6" s="7">
        <f t="shared" si="3"/>
        <v>115.25700000000001</v>
      </c>
      <c r="I6" s="7">
        <f t="shared" si="3"/>
        <v>117.44</v>
      </c>
      <c r="J6" s="7">
        <f t="shared" ref="J6" si="4">+J4-J5</f>
        <v>118.607</v>
      </c>
      <c r="N6" s="7"/>
      <c r="O6" s="7">
        <f>+O4-O5</f>
        <v>283.73700000000002</v>
      </c>
      <c r="P6" s="7">
        <f>+P4-P5</f>
        <v>321.73300000000006</v>
      </c>
      <c r="Q6" s="7">
        <f>+Q4-Q5</f>
        <v>386.935</v>
      </c>
      <c r="R6" s="7">
        <f>+R4-R5</f>
        <v>446.97299999999996</v>
      </c>
      <c r="S6" s="7">
        <f t="shared" ref="S6:AH6" si="5">+S4-S5</f>
        <v>497.04455000000007</v>
      </c>
      <c r="T6" s="7">
        <f t="shared" si="5"/>
        <v>552.39196750000008</v>
      </c>
      <c r="U6" s="7">
        <f t="shared" si="5"/>
        <v>613.5562748750001</v>
      </c>
      <c r="V6" s="7">
        <f t="shared" si="5"/>
        <v>681.13326851875013</v>
      </c>
      <c r="W6" s="7">
        <f t="shared" si="5"/>
        <v>755.77902983468778</v>
      </c>
      <c r="X6" s="7">
        <f t="shared" si="5"/>
        <v>838.21598900542222</v>
      </c>
      <c r="Y6" s="7">
        <f t="shared" si="5"/>
        <v>929.23959690259358</v>
      </c>
      <c r="Z6" s="7">
        <f t="shared" si="5"/>
        <v>1029.7256660393132</v>
      </c>
      <c r="AA6" s="7">
        <f t="shared" si="5"/>
        <v>1140.638447562028</v>
      </c>
      <c r="AB6" s="7">
        <f t="shared" si="5"/>
        <v>1263.0395179829534</v>
      </c>
      <c r="AC6" s="7">
        <f t="shared" si="5"/>
        <v>1398.0975567292078</v>
      </c>
      <c r="AD6" s="7">
        <f t="shared" si="5"/>
        <v>1547.0991036974851</v>
      </c>
      <c r="AE6" s="7">
        <f t="shared" si="5"/>
        <v>1711.4603949273583</v>
      </c>
      <c r="AF6" s="7">
        <f t="shared" si="5"/>
        <v>1892.740384323225</v>
      </c>
      <c r="AG6" s="7">
        <f t="shared" si="5"/>
        <v>2092.6550701538345</v>
      </c>
      <c r="AH6" s="7">
        <f t="shared" si="5"/>
        <v>2313.0932569374199</v>
      </c>
    </row>
    <row r="7" spans="1:134" x14ac:dyDescent="0.2">
      <c r="A7" t="s">
        <v>24</v>
      </c>
      <c r="B7" s="7">
        <v>23.106999999999999</v>
      </c>
      <c r="C7" s="7">
        <v>24.791</v>
      </c>
      <c r="D7" s="7">
        <v>25.478000000000002</v>
      </c>
      <c r="E7" s="7">
        <v>27.81</v>
      </c>
      <c r="F7" s="7">
        <v>27.795000000000002</v>
      </c>
      <c r="G7" s="7">
        <v>27.423999999999999</v>
      </c>
      <c r="H7" s="7">
        <v>27.782</v>
      </c>
      <c r="I7" s="7">
        <v>27.471</v>
      </c>
      <c r="J7" s="7">
        <v>27.53</v>
      </c>
      <c r="N7" s="7"/>
      <c r="O7" s="7">
        <v>72.548000000000002</v>
      </c>
      <c r="P7" s="7">
        <v>81.289000000000001</v>
      </c>
      <c r="Q7" s="7">
        <v>101.18600000000001</v>
      </c>
      <c r="R7" s="7">
        <v>110.47199999999999</v>
      </c>
      <c r="S7" s="7">
        <f>+R7*1.1</f>
        <v>121.5192</v>
      </c>
      <c r="T7" s="7">
        <f t="shared" ref="T7:AH7" si="6">+S7*1.1</f>
        <v>133.67112</v>
      </c>
      <c r="U7" s="7">
        <f t="shared" si="6"/>
        <v>147.03823200000002</v>
      </c>
      <c r="V7" s="7">
        <f t="shared" si="6"/>
        <v>161.74205520000004</v>
      </c>
      <c r="W7" s="7">
        <f t="shared" si="6"/>
        <v>177.91626072000005</v>
      </c>
      <c r="X7" s="7">
        <f t="shared" si="6"/>
        <v>195.70788679200007</v>
      </c>
      <c r="Y7" s="7">
        <f t="shared" si="6"/>
        <v>215.2786754712001</v>
      </c>
      <c r="Z7" s="7">
        <f t="shared" si="6"/>
        <v>236.80654301832013</v>
      </c>
      <c r="AA7" s="7">
        <f t="shared" si="6"/>
        <v>260.48719732015218</v>
      </c>
      <c r="AB7" s="7">
        <f t="shared" si="6"/>
        <v>286.53591705216741</v>
      </c>
      <c r="AC7" s="7">
        <f t="shared" si="6"/>
        <v>315.18950875738415</v>
      </c>
      <c r="AD7" s="7">
        <f t="shared" si="6"/>
        <v>346.70845963312257</v>
      </c>
      <c r="AE7" s="7">
        <f t="shared" si="6"/>
        <v>381.37930559643485</v>
      </c>
      <c r="AF7" s="7">
        <f t="shared" si="6"/>
        <v>419.51723615607835</v>
      </c>
      <c r="AG7" s="7">
        <f t="shared" si="6"/>
        <v>461.46895977168623</v>
      </c>
      <c r="AH7" s="7">
        <f t="shared" si="6"/>
        <v>507.61585574885487</v>
      </c>
    </row>
    <row r="8" spans="1:134" x14ac:dyDescent="0.2">
      <c r="A8" t="s">
        <v>25</v>
      </c>
      <c r="B8" s="7">
        <v>20.141999999999999</v>
      </c>
      <c r="C8" s="7">
        <v>23.73</v>
      </c>
      <c r="D8" s="7">
        <v>25.047000000000001</v>
      </c>
      <c r="E8" s="7">
        <v>28.302</v>
      </c>
      <c r="F8" s="7">
        <v>25.628</v>
      </c>
      <c r="G8" s="7">
        <v>26.241</v>
      </c>
      <c r="H8" s="7">
        <v>27.881</v>
      </c>
      <c r="I8" s="7">
        <v>31.940999999999999</v>
      </c>
      <c r="J8" s="7">
        <v>29.408000000000001</v>
      </c>
      <c r="N8" s="7"/>
      <c r="O8" s="7">
        <v>67.965000000000003</v>
      </c>
      <c r="P8" s="7">
        <v>76.486999999999995</v>
      </c>
      <c r="Q8" s="7">
        <v>97.221000000000004</v>
      </c>
      <c r="R8" s="7">
        <v>111.691</v>
      </c>
      <c r="S8" s="7">
        <f>+R8*1.05</f>
        <v>117.27555000000001</v>
      </c>
      <c r="T8" s="7">
        <f t="shared" ref="T8:AH8" si="7">+S8*1.05</f>
        <v>123.13932750000002</v>
      </c>
      <c r="U8" s="7">
        <f t="shared" si="7"/>
        <v>129.29629387500003</v>
      </c>
      <c r="V8" s="7">
        <f t="shared" si="7"/>
        <v>135.76110856875005</v>
      </c>
      <c r="W8" s="7">
        <f t="shared" si="7"/>
        <v>142.54916399718755</v>
      </c>
      <c r="X8" s="7">
        <f t="shared" si="7"/>
        <v>149.67662219704692</v>
      </c>
      <c r="Y8" s="7">
        <f t="shared" si="7"/>
        <v>157.16045330689929</v>
      </c>
      <c r="Z8" s="7">
        <f t="shared" si="7"/>
        <v>165.01847597224426</v>
      </c>
      <c r="AA8" s="7">
        <f t="shared" si="7"/>
        <v>173.2693997708565</v>
      </c>
      <c r="AB8" s="7">
        <f t="shared" si="7"/>
        <v>181.93286975939932</v>
      </c>
      <c r="AC8" s="7">
        <f t="shared" si="7"/>
        <v>191.02951324736929</v>
      </c>
      <c r="AD8" s="7">
        <f t="shared" si="7"/>
        <v>200.58098890973775</v>
      </c>
      <c r="AE8" s="7">
        <f t="shared" si="7"/>
        <v>210.61003835522465</v>
      </c>
      <c r="AF8" s="7">
        <f t="shared" si="7"/>
        <v>221.14054027298587</v>
      </c>
      <c r="AG8" s="7">
        <f t="shared" si="7"/>
        <v>232.19756728663518</v>
      </c>
      <c r="AH8" s="7">
        <f t="shared" si="7"/>
        <v>243.80744565096694</v>
      </c>
    </row>
    <row r="9" spans="1:134" x14ac:dyDescent="0.2">
      <c r="A9" t="s">
        <v>26</v>
      </c>
      <c r="B9" s="7">
        <v>12.634</v>
      </c>
      <c r="C9" s="7">
        <v>13.333</v>
      </c>
      <c r="D9" s="7">
        <v>15.698</v>
      </c>
      <c r="E9" s="7">
        <v>16.315999999999999</v>
      </c>
      <c r="F9" s="7">
        <v>15.128</v>
      </c>
      <c r="G9" s="7">
        <v>14.055</v>
      </c>
      <c r="H9" s="7">
        <v>15.999000000000001</v>
      </c>
      <c r="I9" s="7">
        <v>16.559000000000001</v>
      </c>
      <c r="J9" s="7">
        <v>16.908000000000001</v>
      </c>
      <c r="N9" s="7"/>
      <c r="O9" s="7">
        <v>46.57</v>
      </c>
      <c r="P9" s="7">
        <v>76.274000000000001</v>
      </c>
      <c r="Q9" s="7">
        <v>57.981000000000002</v>
      </c>
      <c r="R9" s="7">
        <v>61.741</v>
      </c>
      <c r="S9" s="7">
        <f>+R9*1.03</f>
        <v>63.593229999999998</v>
      </c>
      <c r="T9" s="7">
        <f t="shared" ref="T9:AH9" si="8">+S9*1.03</f>
        <v>65.501026899999999</v>
      </c>
      <c r="U9" s="7">
        <f t="shared" si="8"/>
        <v>67.466057707000004</v>
      </c>
      <c r="V9" s="7">
        <f t="shared" si="8"/>
        <v>69.490039438210005</v>
      </c>
      <c r="W9" s="7">
        <f t="shared" si="8"/>
        <v>71.574740621356312</v>
      </c>
      <c r="X9" s="7">
        <f t="shared" si="8"/>
        <v>73.721982839996997</v>
      </c>
      <c r="Y9" s="7">
        <f t="shared" si="8"/>
        <v>75.933642325196914</v>
      </c>
      <c r="Z9" s="7">
        <f t="shared" si="8"/>
        <v>78.211651594952826</v>
      </c>
      <c r="AA9" s="7">
        <f t="shared" si="8"/>
        <v>80.558001142801416</v>
      </c>
      <c r="AB9" s="7">
        <f t="shared" si="8"/>
        <v>82.974741177085463</v>
      </c>
      <c r="AC9" s="7">
        <f t="shared" si="8"/>
        <v>85.463983412398022</v>
      </c>
      <c r="AD9" s="7">
        <f t="shared" si="8"/>
        <v>88.027902914769967</v>
      </c>
      <c r="AE9" s="7">
        <f t="shared" si="8"/>
        <v>90.66874000221307</v>
      </c>
      <c r="AF9" s="7">
        <f t="shared" si="8"/>
        <v>93.388802202279464</v>
      </c>
      <c r="AG9" s="7">
        <f t="shared" si="8"/>
        <v>96.190466268347848</v>
      </c>
      <c r="AH9" s="7">
        <f t="shared" si="8"/>
        <v>99.076180256398288</v>
      </c>
    </row>
    <row r="10" spans="1:134" x14ac:dyDescent="0.2">
      <c r="A10" t="s">
        <v>27</v>
      </c>
      <c r="B10" s="7">
        <f t="shared" ref="B10:I10" si="9">SUM(B7:B9)</f>
        <v>55.882999999999996</v>
      </c>
      <c r="C10" s="7">
        <f t="shared" si="9"/>
        <v>61.853999999999999</v>
      </c>
      <c r="D10" s="7">
        <f t="shared" si="9"/>
        <v>66.223000000000013</v>
      </c>
      <c r="E10" s="7">
        <f t="shared" si="9"/>
        <v>72.427999999999997</v>
      </c>
      <c r="F10" s="7">
        <f t="shared" si="9"/>
        <v>68.551000000000002</v>
      </c>
      <c r="G10" s="7">
        <f t="shared" si="9"/>
        <v>67.72</v>
      </c>
      <c r="H10" s="7">
        <f t="shared" si="9"/>
        <v>71.661999999999992</v>
      </c>
      <c r="I10" s="7">
        <f t="shared" si="9"/>
        <v>75.971000000000004</v>
      </c>
      <c r="J10" s="7">
        <f t="shared" ref="J10" si="10">SUM(J7:J9)</f>
        <v>73.846000000000004</v>
      </c>
      <c r="N10" s="7"/>
      <c r="O10" s="7">
        <f>SUM(O7:O9)</f>
        <v>187.083</v>
      </c>
      <c r="P10" s="7">
        <f>SUM(P7:P9)</f>
        <v>234.05</v>
      </c>
      <c r="Q10" s="7">
        <f>SUM(Q7:Q9)</f>
        <v>256.38800000000003</v>
      </c>
      <c r="R10" s="7">
        <f>SUM(R7:R9)</f>
        <v>283.904</v>
      </c>
      <c r="S10" s="7">
        <f t="shared" ref="S10:AH10" si="11">SUM(S7:S9)</f>
        <v>302.38798000000003</v>
      </c>
      <c r="T10" s="7">
        <f t="shared" si="11"/>
        <v>322.31147440000001</v>
      </c>
      <c r="U10" s="7">
        <f t="shared" si="11"/>
        <v>343.80058358200006</v>
      </c>
      <c r="V10" s="7">
        <f t="shared" si="11"/>
        <v>366.99320320696006</v>
      </c>
      <c r="W10" s="7">
        <f t="shared" si="11"/>
        <v>392.04016533854394</v>
      </c>
      <c r="X10" s="7">
        <f t="shared" si="11"/>
        <v>419.10649182904399</v>
      </c>
      <c r="Y10" s="7">
        <f t="shared" si="11"/>
        <v>448.37277110329632</v>
      </c>
      <c r="Z10" s="7">
        <f t="shared" si="11"/>
        <v>480.03667058551719</v>
      </c>
      <c r="AA10" s="7">
        <f t="shared" si="11"/>
        <v>514.3145982338101</v>
      </c>
      <c r="AB10" s="7">
        <f t="shared" si="11"/>
        <v>551.44352798865214</v>
      </c>
      <c r="AC10" s="7">
        <f t="shared" si="11"/>
        <v>591.68300541715143</v>
      </c>
      <c r="AD10" s="7">
        <f t="shared" si="11"/>
        <v>635.31735145763025</v>
      </c>
      <c r="AE10" s="7">
        <f t="shared" si="11"/>
        <v>682.65808395387262</v>
      </c>
      <c r="AF10" s="7">
        <f t="shared" si="11"/>
        <v>734.04657863134366</v>
      </c>
      <c r="AG10" s="7">
        <f t="shared" si="11"/>
        <v>789.85699332666923</v>
      </c>
      <c r="AH10" s="7">
        <f t="shared" si="11"/>
        <v>850.49948165622015</v>
      </c>
    </row>
    <row r="11" spans="1:134" s="14" customFormat="1" x14ac:dyDescent="0.2">
      <c r="A11" s="12" t="s">
        <v>28</v>
      </c>
      <c r="B11" s="13">
        <f t="shared" ref="B11:I11" si="12">+B6-B10</f>
        <v>33.535000000000011</v>
      </c>
      <c r="C11" s="13">
        <f t="shared" si="12"/>
        <v>32.993000000000009</v>
      </c>
      <c r="D11" s="13">
        <f t="shared" si="12"/>
        <v>33.345999999999989</v>
      </c>
      <c r="E11" s="13">
        <f t="shared" si="12"/>
        <v>30.672999999999988</v>
      </c>
      <c r="F11" s="13">
        <f t="shared" si="12"/>
        <v>35.177999999999983</v>
      </c>
      <c r="G11" s="13">
        <f t="shared" si="12"/>
        <v>42.826999999999998</v>
      </c>
      <c r="H11" s="13">
        <f t="shared" si="12"/>
        <v>43.595000000000013</v>
      </c>
      <c r="I11" s="13">
        <f t="shared" si="12"/>
        <v>41.468999999999994</v>
      </c>
      <c r="J11" s="13">
        <f t="shared" ref="J11" si="13">+J6-J10</f>
        <v>44.760999999999996</v>
      </c>
      <c r="K11" s="13"/>
      <c r="L11" s="13"/>
      <c r="M11" s="13"/>
      <c r="N11" s="13"/>
      <c r="O11" s="13">
        <f>+O6-O10</f>
        <v>96.654000000000025</v>
      </c>
      <c r="P11" s="13">
        <f>+P6-P10</f>
        <v>87.68300000000005</v>
      </c>
      <c r="Q11" s="13">
        <f>+Q6-Q10</f>
        <v>130.54699999999997</v>
      </c>
      <c r="R11" s="13">
        <f>+R6-R10</f>
        <v>163.06899999999996</v>
      </c>
      <c r="S11" s="13">
        <f t="shared" ref="S11:AH11" si="14">+S6-S10</f>
        <v>194.65657000000004</v>
      </c>
      <c r="T11" s="13">
        <f t="shared" si="14"/>
        <v>230.08049310000007</v>
      </c>
      <c r="U11" s="13">
        <f t="shared" si="14"/>
        <v>269.75569129300004</v>
      </c>
      <c r="V11" s="13">
        <f t="shared" si="14"/>
        <v>314.14006531179007</v>
      </c>
      <c r="W11" s="13">
        <f t="shared" si="14"/>
        <v>363.73886449614383</v>
      </c>
      <c r="X11" s="13">
        <f t="shared" si="14"/>
        <v>419.10949717637823</v>
      </c>
      <c r="Y11" s="13">
        <f t="shared" si="14"/>
        <v>480.86682579929726</v>
      </c>
      <c r="Z11" s="13">
        <f t="shared" si="14"/>
        <v>549.688995453796</v>
      </c>
      <c r="AA11" s="13">
        <f t="shared" si="14"/>
        <v>626.32384932821788</v>
      </c>
      <c r="AB11" s="13">
        <f t="shared" si="14"/>
        <v>711.59598999430125</v>
      </c>
      <c r="AC11" s="13">
        <f t="shared" si="14"/>
        <v>806.41455131205635</v>
      </c>
      <c r="AD11" s="13">
        <f t="shared" si="14"/>
        <v>911.78175223985488</v>
      </c>
      <c r="AE11" s="13">
        <f t="shared" si="14"/>
        <v>1028.8023109734856</v>
      </c>
      <c r="AF11" s="13">
        <f t="shared" si="14"/>
        <v>1158.6938056918814</v>
      </c>
      <c r="AG11" s="13">
        <f t="shared" si="14"/>
        <v>1302.7980768271652</v>
      </c>
      <c r="AH11" s="13">
        <f t="shared" si="14"/>
        <v>1462.5937752811997</v>
      </c>
    </row>
    <row r="12" spans="1:134" x14ac:dyDescent="0.2">
      <c r="A12" t="s">
        <v>29</v>
      </c>
      <c r="B12" s="7">
        <v>0.51800000000000002</v>
      </c>
      <c r="C12" s="7">
        <v>0.83899999999999997</v>
      </c>
      <c r="D12" s="7">
        <v>1.5680000000000001</v>
      </c>
      <c r="E12" s="7">
        <v>2.266</v>
      </c>
      <c r="F12" s="7">
        <v>2.3969999999999998</v>
      </c>
      <c r="G12" s="7">
        <v>3.8090000000000002</v>
      </c>
      <c r="H12" s="7">
        <v>5.1360000000000001</v>
      </c>
      <c r="I12" s="7">
        <v>5.5629999999999997</v>
      </c>
      <c r="J12" s="7">
        <v>5.5629999999999997</v>
      </c>
      <c r="N12" s="7"/>
      <c r="O12" s="7">
        <v>5.3849999999999998</v>
      </c>
      <c r="P12" s="7">
        <v>2.2869999999999999</v>
      </c>
      <c r="Q12" s="7">
        <v>5.1909999999999998</v>
      </c>
      <c r="R12" s="7">
        <v>16.905000000000001</v>
      </c>
      <c r="S12" s="7">
        <f>+R28*$AK$20</f>
        <v>-9.6980400000000007</v>
      </c>
      <c r="T12" s="7">
        <f>+S28*$AK$20</f>
        <v>-12.442247680000001</v>
      </c>
      <c r="U12" s="7">
        <f>+T28*$AK$20</f>
        <v>-15.654446653120001</v>
      </c>
      <c r="V12" s="7">
        <f>+U28*$AK$20</f>
        <v>-19.385809634295683</v>
      </c>
      <c r="W12" s="7">
        <f>+V28*$AK$20</f>
        <v>-23.692993532449677</v>
      </c>
      <c r="X12" s="7">
        <f>+W28*$AK$20</f>
        <v>-28.638699597219794</v>
      </c>
      <c r="Y12" s="7">
        <f>+X28*$AK$20</f>
        <v>-34.292290366541927</v>
      </c>
      <c r="Z12" s="7">
        <f>+Y28*$AK$20</f>
        <v>-40.730469126135176</v>
      </c>
      <c r="AA12" s="7">
        <f>+Z28*$AK$20</f>
        <v>-48.038028164855049</v>
      </c>
      <c r="AB12" s="7">
        <f>+AA28*$AK$20</f>
        <v>-56.308672740171751</v>
      </c>
      <c r="AC12" s="7">
        <f>+AB28*$AK$20</f>
        <v>-65.645928361434386</v>
      </c>
      <c r="AD12" s="7">
        <f>+AC28*$AK$20</f>
        <v>-76.164139761415655</v>
      </c>
      <c r="AE12" s="7">
        <f>+AD28*$AK$20</f>
        <v>-87.989570765842359</v>
      </c>
      <c r="AF12" s="7">
        <f>+AE28*$AK$20</f>
        <v>-101.26161519384782</v>
      </c>
      <c r="AG12" s="7">
        <f>+AF28*$AK$20</f>
        <v>-116.13412993793941</v>
      </c>
      <c r="AH12" s="7">
        <f>+AG28*$AK$20</f>
        <v>-132.77690248940823</v>
      </c>
    </row>
    <row r="13" spans="1:134" x14ac:dyDescent="0.2">
      <c r="A13" t="s">
        <v>30</v>
      </c>
      <c r="B13" s="7">
        <v>-0.71</v>
      </c>
      <c r="C13" s="7">
        <v>-1.71</v>
      </c>
      <c r="D13" s="7">
        <v>-1.0760000000000001</v>
      </c>
      <c r="E13" s="7">
        <v>1.458</v>
      </c>
      <c r="F13" s="7">
        <v>-0.216</v>
      </c>
      <c r="G13" s="7">
        <v>-0.95899999999999996</v>
      </c>
      <c r="H13" s="7">
        <v>-0.70799999999999996</v>
      </c>
      <c r="I13" s="7">
        <v>0.56000000000000005</v>
      </c>
      <c r="J13" s="7">
        <v>-1.399</v>
      </c>
      <c r="N13" s="7"/>
      <c r="O13" s="7">
        <v>7.0000000000000001E-3</v>
      </c>
      <c r="P13" s="7">
        <v>-0.57299999999999995</v>
      </c>
      <c r="Q13" s="7">
        <v>-2.0379999999999998</v>
      </c>
      <c r="R13" s="7">
        <v>-1.323</v>
      </c>
      <c r="S13" s="7">
        <v>-1.323</v>
      </c>
      <c r="T13" s="7">
        <v>-1.323</v>
      </c>
      <c r="U13" s="7">
        <v>-1.323</v>
      </c>
      <c r="V13" s="7">
        <v>-1.323</v>
      </c>
      <c r="W13" s="7">
        <v>-1.323</v>
      </c>
      <c r="X13" s="7">
        <v>-1.323</v>
      </c>
      <c r="Y13" s="7">
        <v>-1.323</v>
      </c>
      <c r="Z13" s="7">
        <v>-1.323</v>
      </c>
      <c r="AA13" s="7">
        <v>-1.323</v>
      </c>
      <c r="AB13" s="7">
        <v>-1.323</v>
      </c>
      <c r="AC13" s="7">
        <v>-1.323</v>
      </c>
      <c r="AD13" s="7">
        <v>-1.323</v>
      </c>
      <c r="AE13" s="7">
        <v>-1.323</v>
      </c>
      <c r="AF13" s="7">
        <v>-1.323</v>
      </c>
      <c r="AG13" s="7">
        <v>-1.323</v>
      </c>
      <c r="AH13" s="7">
        <v>-1.323</v>
      </c>
    </row>
    <row r="14" spans="1:134" x14ac:dyDescent="0.2">
      <c r="A14" t="s">
        <v>31</v>
      </c>
      <c r="B14" s="7">
        <f>SUM(B12:B13)+B11</f>
        <v>33.343000000000011</v>
      </c>
      <c r="C14" s="7">
        <f>SUM(C12:C13)+C11</f>
        <v>32.122000000000007</v>
      </c>
      <c r="D14" s="7">
        <f>SUM(D12:D13)+D11</f>
        <v>33.837999999999987</v>
      </c>
      <c r="E14" s="7">
        <f>SUM(E12:E13)+E11</f>
        <v>34.396999999999991</v>
      </c>
      <c r="F14" s="7">
        <f>SUM(F12:F13)+F11</f>
        <v>37.35899999999998</v>
      </c>
      <c r="G14" s="7">
        <f>SUM(G12:G13)+G11</f>
        <v>45.677</v>
      </c>
      <c r="H14" s="7">
        <f>SUM(H12:H13)+H11</f>
        <v>48.02300000000001</v>
      </c>
      <c r="I14" s="7">
        <f>SUM(I12:I13)+I11</f>
        <v>47.591999999999992</v>
      </c>
      <c r="J14" s="7">
        <f>SUM(J12:J13)+J11</f>
        <v>48.924999999999997</v>
      </c>
      <c r="N14" s="7"/>
      <c r="O14" s="7">
        <f>SUM(O12:O13)+O11</f>
        <v>102.04600000000002</v>
      </c>
      <c r="P14" s="7">
        <f>SUM(P12:P13)+P11</f>
        <v>89.397000000000048</v>
      </c>
      <c r="Q14" s="7">
        <f>SUM(Q12:Q13)+Q11</f>
        <v>133.69999999999996</v>
      </c>
      <c r="R14" s="7">
        <f>SUM(R12:R13)+R11</f>
        <v>178.65099999999995</v>
      </c>
      <c r="S14" s="7">
        <f>SUM(S12:S13)+S11</f>
        <v>183.63553000000005</v>
      </c>
      <c r="T14" s="7">
        <f>SUM(T12:T13)+T11</f>
        <v>216.31524542000005</v>
      </c>
      <c r="U14" s="7">
        <f>SUM(U12:U13)+U11</f>
        <v>252.77824463988003</v>
      </c>
      <c r="V14" s="7">
        <f>SUM(V12:V13)+V11</f>
        <v>293.43125567749439</v>
      </c>
      <c r="W14" s="7">
        <f>SUM(W12:W13)+W11</f>
        <v>338.72287096369416</v>
      </c>
      <c r="X14" s="7">
        <f>SUM(X12:X13)+X11</f>
        <v>389.14779757915841</v>
      </c>
      <c r="Y14" s="7">
        <f>SUM(Y12:Y13)+Y11</f>
        <v>445.2515354327553</v>
      </c>
      <c r="Z14" s="7">
        <f>SUM(Z12:Z13)+Z11</f>
        <v>507.63552632766084</v>
      </c>
      <c r="AA14" s="7">
        <f>SUM(AA12:AA13)+AA11</f>
        <v>576.96282116336283</v>
      </c>
      <c r="AB14" s="7">
        <f>SUM(AB12:AB13)+AB11</f>
        <v>653.96431725412947</v>
      </c>
      <c r="AC14" s="7">
        <f>SUM(AC12:AC13)+AC11</f>
        <v>739.44562295062201</v>
      </c>
      <c r="AD14" s="7">
        <f>SUM(AD12:AD13)+AD11</f>
        <v>834.29461247843926</v>
      </c>
      <c r="AE14" s="7">
        <f>SUM(AE12:AE13)+AE11</f>
        <v>939.48974020764331</v>
      </c>
      <c r="AF14" s="7">
        <f>SUM(AF12:AF13)+AF11</f>
        <v>1056.1091904980335</v>
      </c>
      <c r="AG14" s="7">
        <f>SUM(AG12:AG13)+AG11</f>
        <v>1185.3409468892257</v>
      </c>
      <c r="AH14" s="7">
        <f>SUM(AH12:AH13)+AH11</f>
        <v>1328.4938727917915</v>
      </c>
    </row>
    <row r="15" spans="1:134" x14ac:dyDescent="0.2">
      <c r="A15" t="s">
        <v>32</v>
      </c>
      <c r="B15" s="7">
        <v>7.9329999999999998</v>
      </c>
      <c r="C15" s="7">
        <v>5.5259999999999998</v>
      </c>
      <c r="D15" s="7">
        <v>6.1779999999999999</v>
      </c>
      <c r="E15" s="7">
        <v>6.0709999999999997</v>
      </c>
      <c r="F15" s="7">
        <v>8.2539999999999996</v>
      </c>
      <c r="G15" s="7">
        <v>10.295</v>
      </c>
      <c r="H15" s="7">
        <v>1.508</v>
      </c>
      <c r="I15" s="7">
        <v>6.9989999999999997</v>
      </c>
      <c r="J15" s="7">
        <v>9.7539999999999996</v>
      </c>
      <c r="N15" s="7"/>
      <c r="O15" s="7">
        <v>10.465</v>
      </c>
      <c r="P15" s="7">
        <v>18.437000000000001</v>
      </c>
      <c r="Q15" s="7">
        <v>25.707999999999998</v>
      </c>
      <c r="R15" s="7">
        <v>27.056000000000001</v>
      </c>
      <c r="S15" s="7">
        <f>+S14*0.2</f>
        <v>36.727106000000013</v>
      </c>
      <c r="T15" s="7">
        <f t="shared" ref="T15:AH15" si="15">+T14*0.2</f>
        <v>43.263049084000016</v>
      </c>
      <c r="U15" s="7">
        <f t="shared" si="15"/>
        <v>50.555648927976009</v>
      </c>
      <c r="V15" s="7">
        <f t="shared" si="15"/>
        <v>58.686251135498878</v>
      </c>
      <c r="W15" s="7">
        <f t="shared" si="15"/>
        <v>67.744574192738838</v>
      </c>
      <c r="X15" s="7">
        <f t="shared" si="15"/>
        <v>77.82955951583169</v>
      </c>
      <c r="Y15" s="7">
        <f t="shared" si="15"/>
        <v>89.050307086551072</v>
      </c>
      <c r="Z15" s="7">
        <f t="shared" si="15"/>
        <v>101.52710526553217</v>
      </c>
      <c r="AA15" s="7">
        <f t="shared" si="15"/>
        <v>115.39256423267257</v>
      </c>
      <c r="AB15" s="7">
        <f t="shared" si="15"/>
        <v>130.79286345082591</v>
      </c>
      <c r="AC15" s="7">
        <f t="shared" si="15"/>
        <v>147.8891245901244</v>
      </c>
      <c r="AD15" s="7">
        <f t="shared" si="15"/>
        <v>166.85892249568786</v>
      </c>
      <c r="AE15" s="7">
        <f t="shared" si="15"/>
        <v>187.89794804152868</v>
      </c>
      <c r="AF15" s="7">
        <f t="shared" si="15"/>
        <v>211.22183809960671</v>
      </c>
      <c r="AG15" s="7">
        <f t="shared" si="15"/>
        <v>237.06818937784516</v>
      </c>
      <c r="AH15" s="7">
        <f t="shared" si="15"/>
        <v>265.69877455835831</v>
      </c>
    </row>
    <row r="16" spans="1:134" s="14" customFormat="1" x14ac:dyDescent="0.2">
      <c r="A16" s="12" t="s">
        <v>33</v>
      </c>
      <c r="B16" s="13">
        <f t="shared" ref="B16:I16" si="16">+B14-B15</f>
        <v>25.410000000000011</v>
      </c>
      <c r="C16" s="13">
        <f t="shared" si="16"/>
        <v>26.596000000000007</v>
      </c>
      <c r="D16" s="13">
        <f t="shared" si="16"/>
        <v>27.659999999999986</v>
      </c>
      <c r="E16" s="13">
        <f t="shared" si="16"/>
        <v>28.325999999999993</v>
      </c>
      <c r="F16" s="13">
        <f t="shared" si="16"/>
        <v>29.104999999999983</v>
      </c>
      <c r="G16" s="13">
        <f t="shared" si="16"/>
        <v>35.381999999999998</v>
      </c>
      <c r="H16" s="13">
        <f t="shared" si="16"/>
        <v>46.515000000000008</v>
      </c>
      <c r="I16" s="13">
        <f t="shared" si="16"/>
        <v>40.592999999999989</v>
      </c>
      <c r="J16" s="13">
        <f t="shared" ref="J16" si="17">+J14-J15</f>
        <v>39.170999999999999</v>
      </c>
      <c r="K16" s="13"/>
      <c r="L16" s="13"/>
      <c r="M16" s="13"/>
      <c r="N16" s="13"/>
      <c r="O16" s="13">
        <f>+O14-O15</f>
        <v>91.581000000000017</v>
      </c>
      <c r="P16" s="13">
        <f>+P14-P15</f>
        <v>70.960000000000051</v>
      </c>
      <c r="Q16" s="13">
        <f>+Q14-Q15</f>
        <v>107.99199999999996</v>
      </c>
      <c r="R16" s="13">
        <f>+R14-R15</f>
        <v>151.59499999999994</v>
      </c>
      <c r="S16" s="13">
        <f>+S14-S15</f>
        <v>146.90842400000002</v>
      </c>
      <c r="T16" s="13">
        <f t="shared" ref="T16:AH16" si="18">+T14-T15</f>
        <v>173.05219633600004</v>
      </c>
      <c r="U16" s="13">
        <f t="shared" si="18"/>
        <v>202.22259571190403</v>
      </c>
      <c r="V16" s="13">
        <f t="shared" si="18"/>
        <v>234.74500454199551</v>
      </c>
      <c r="W16" s="13">
        <f t="shared" si="18"/>
        <v>270.97829677095535</v>
      </c>
      <c r="X16" s="13">
        <f t="shared" si="18"/>
        <v>311.3182380633267</v>
      </c>
      <c r="Y16" s="13">
        <f t="shared" si="18"/>
        <v>356.20122834620423</v>
      </c>
      <c r="Z16" s="13">
        <f t="shared" si="18"/>
        <v>406.10842106212868</v>
      </c>
      <c r="AA16" s="13">
        <f t="shared" si="18"/>
        <v>461.57025693069028</v>
      </c>
      <c r="AB16" s="13">
        <f t="shared" si="18"/>
        <v>523.17145380330362</v>
      </c>
      <c r="AC16" s="13">
        <f t="shared" si="18"/>
        <v>591.55649836049759</v>
      </c>
      <c r="AD16" s="13">
        <f t="shared" si="18"/>
        <v>667.43568998275146</v>
      </c>
      <c r="AE16" s="13">
        <f t="shared" si="18"/>
        <v>751.5917921661146</v>
      </c>
      <c r="AF16" s="13">
        <f t="shared" si="18"/>
        <v>844.88735239842686</v>
      </c>
      <c r="AG16" s="13">
        <f t="shared" si="18"/>
        <v>948.27275751138063</v>
      </c>
      <c r="AH16" s="13">
        <f t="shared" si="18"/>
        <v>1062.7950982334332</v>
      </c>
      <c r="AI16" s="13">
        <f>+AH16*(1+$AK$20)</f>
        <v>1041.5391962687645</v>
      </c>
      <c r="AJ16" s="13">
        <f t="shared" ref="AJ16:CU16" si="19">+AI16*(1+$AK$20)</f>
        <v>1020.7084123433892</v>
      </c>
      <c r="AK16" s="13">
        <f t="shared" si="19"/>
        <v>1000.2942440965214</v>
      </c>
      <c r="AL16" s="13">
        <f t="shared" si="19"/>
        <v>980.28835921459097</v>
      </c>
      <c r="AM16" s="13">
        <f t="shared" si="19"/>
        <v>960.68259203029913</v>
      </c>
      <c r="AN16" s="13">
        <f t="shared" si="19"/>
        <v>941.46894018969317</v>
      </c>
      <c r="AO16" s="13">
        <f t="shared" si="19"/>
        <v>922.63956138589924</v>
      </c>
      <c r="AP16" s="13">
        <f t="shared" si="19"/>
        <v>904.18677015818128</v>
      </c>
      <c r="AQ16" s="13">
        <f t="shared" si="19"/>
        <v>886.10303475501769</v>
      </c>
      <c r="AR16" s="13">
        <f t="shared" si="19"/>
        <v>868.38097405991732</v>
      </c>
      <c r="AS16" s="13">
        <f t="shared" si="19"/>
        <v>851.01335457871892</v>
      </c>
      <c r="AT16" s="13">
        <f t="shared" si="19"/>
        <v>833.99308748714452</v>
      </c>
      <c r="AU16" s="13">
        <f t="shared" si="19"/>
        <v>817.31322573740158</v>
      </c>
      <c r="AV16" s="13">
        <f t="shared" si="19"/>
        <v>800.96696122265348</v>
      </c>
      <c r="AW16" s="13">
        <f t="shared" si="19"/>
        <v>784.94762199820036</v>
      </c>
      <c r="AX16" s="13">
        <f t="shared" si="19"/>
        <v>769.24866955823632</v>
      </c>
      <c r="AY16" s="13">
        <f t="shared" si="19"/>
        <v>753.86369616707157</v>
      </c>
      <c r="AZ16" s="13">
        <f t="shared" si="19"/>
        <v>738.78642224373016</v>
      </c>
      <c r="BA16" s="13">
        <f t="shared" si="19"/>
        <v>724.01069379885553</v>
      </c>
      <c r="BB16" s="13">
        <f t="shared" si="19"/>
        <v>709.53047992287838</v>
      </c>
      <c r="BC16" s="13">
        <f t="shared" si="19"/>
        <v>695.33987032442076</v>
      </c>
      <c r="BD16" s="13">
        <f t="shared" si="19"/>
        <v>681.43307291793235</v>
      </c>
      <c r="BE16" s="13">
        <f t="shared" si="19"/>
        <v>667.80441145957366</v>
      </c>
      <c r="BF16" s="13">
        <f t="shared" si="19"/>
        <v>654.44832323038213</v>
      </c>
      <c r="BG16" s="13">
        <f t="shared" si="19"/>
        <v>641.35935676577446</v>
      </c>
      <c r="BH16" s="13">
        <f t="shared" si="19"/>
        <v>628.53216963045895</v>
      </c>
      <c r="BI16" s="13">
        <f t="shared" si="19"/>
        <v>615.96152623784974</v>
      </c>
      <c r="BJ16" s="13">
        <f t="shared" si="19"/>
        <v>603.64229571309272</v>
      </c>
      <c r="BK16" s="13">
        <f t="shared" si="19"/>
        <v>591.56944979883087</v>
      </c>
      <c r="BL16" s="13">
        <f t="shared" si="19"/>
        <v>579.73806080285419</v>
      </c>
      <c r="BM16" s="13">
        <f t="shared" si="19"/>
        <v>568.14329958679707</v>
      </c>
      <c r="BN16" s="13">
        <f t="shared" si="19"/>
        <v>556.78043359506114</v>
      </c>
      <c r="BO16" s="13">
        <f t="shared" si="19"/>
        <v>545.64482492315994</v>
      </c>
      <c r="BP16" s="13">
        <f t="shared" si="19"/>
        <v>534.73192842469678</v>
      </c>
      <c r="BQ16" s="13">
        <f t="shared" si="19"/>
        <v>524.03728985620285</v>
      </c>
      <c r="BR16" s="13">
        <f t="shared" si="19"/>
        <v>513.55654405907876</v>
      </c>
      <c r="BS16" s="13">
        <f t="shared" si="19"/>
        <v>503.28541317789717</v>
      </c>
      <c r="BT16" s="13">
        <f t="shared" si="19"/>
        <v>493.21970491433922</v>
      </c>
      <c r="BU16" s="13">
        <f t="shared" si="19"/>
        <v>483.35531081605245</v>
      </c>
      <c r="BV16" s="13">
        <f t="shared" si="19"/>
        <v>473.68820459973142</v>
      </c>
      <c r="BW16" s="13">
        <f t="shared" si="19"/>
        <v>464.21444050773681</v>
      </c>
      <c r="BX16" s="13">
        <f t="shared" si="19"/>
        <v>454.93015169758206</v>
      </c>
      <c r="BY16" s="13">
        <f t="shared" si="19"/>
        <v>445.83154866363043</v>
      </c>
      <c r="BZ16" s="13">
        <f t="shared" si="19"/>
        <v>436.91491769035781</v>
      </c>
      <c r="CA16" s="13">
        <f t="shared" si="19"/>
        <v>428.17661933655063</v>
      </c>
      <c r="CB16" s="13">
        <f t="shared" si="19"/>
        <v>419.6130869498196</v>
      </c>
      <c r="CC16" s="13">
        <f t="shared" si="19"/>
        <v>411.22082521082319</v>
      </c>
      <c r="CD16" s="13">
        <f t="shared" si="19"/>
        <v>402.9964087066067</v>
      </c>
      <c r="CE16" s="13">
        <f t="shared" si="19"/>
        <v>394.93648053247455</v>
      </c>
      <c r="CF16" s="13">
        <f t="shared" si="19"/>
        <v>387.03775092182502</v>
      </c>
      <c r="CG16" s="13">
        <f t="shared" si="19"/>
        <v>379.29699590338851</v>
      </c>
      <c r="CH16" s="13">
        <f t="shared" si="19"/>
        <v>371.71105598532074</v>
      </c>
      <c r="CI16" s="13">
        <f t="shared" si="19"/>
        <v>364.27683486561432</v>
      </c>
      <c r="CJ16" s="13">
        <f t="shared" si="19"/>
        <v>356.99129816830202</v>
      </c>
      <c r="CK16" s="13">
        <f t="shared" si="19"/>
        <v>349.85147220493599</v>
      </c>
      <c r="CL16" s="13">
        <f t="shared" si="19"/>
        <v>342.85444276083729</v>
      </c>
      <c r="CM16" s="13">
        <f t="shared" si="19"/>
        <v>335.99735390562051</v>
      </c>
      <c r="CN16" s="13">
        <f t="shared" si="19"/>
        <v>329.27740682750812</v>
      </c>
      <c r="CO16" s="13">
        <f t="shared" si="19"/>
        <v>322.69185869095793</v>
      </c>
      <c r="CP16" s="13">
        <f t="shared" si="19"/>
        <v>316.23802151713875</v>
      </c>
      <c r="CQ16" s="13">
        <f t="shared" si="19"/>
        <v>309.91326108679596</v>
      </c>
      <c r="CR16" s="13">
        <f t="shared" si="19"/>
        <v>303.71499586506002</v>
      </c>
      <c r="CS16" s="13">
        <f t="shared" si="19"/>
        <v>297.64069594775879</v>
      </c>
      <c r="CT16" s="13">
        <f t="shared" si="19"/>
        <v>291.68788202880359</v>
      </c>
      <c r="CU16" s="13">
        <f t="shared" si="19"/>
        <v>285.85412438822749</v>
      </c>
      <c r="CV16" s="13">
        <f t="shared" ref="CV16:ED16" si="20">+CU16*(1+$AK$20)</f>
        <v>280.13704190046292</v>
      </c>
      <c r="CW16" s="13">
        <f t="shared" si="20"/>
        <v>274.53430106245366</v>
      </c>
      <c r="CX16" s="13">
        <f t="shared" si="20"/>
        <v>269.04361504120459</v>
      </c>
      <c r="CY16" s="13">
        <f t="shared" si="20"/>
        <v>263.66274274038051</v>
      </c>
      <c r="CZ16" s="13">
        <f t="shared" si="20"/>
        <v>258.38948788557292</v>
      </c>
      <c r="DA16" s="13">
        <f t="shared" si="20"/>
        <v>253.22169812786146</v>
      </c>
      <c r="DB16" s="13">
        <f t="shared" si="20"/>
        <v>248.15726416530421</v>
      </c>
      <c r="DC16" s="13">
        <f t="shared" si="20"/>
        <v>243.19411888199812</v>
      </c>
      <c r="DD16" s="13">
        <f t="shared" si="20"/>
        <v>238.33023650435817</v>
      </c>
      <c r="DE16" s="13">
        <f t="shared" si="20"/>
        <v>233.56363177427099</v>
      </c>
      <c r="DF16" s="13">
        <f t="shared" si="20"/>
        <v>228.89235913878557</v>
      </c>
      <c r="DG16" s="13">
        <f t="shared" si="20"/>
        <v>224.31451195600985</v>
      </c>
      <c r="DH16" s="13">
        <f t="shared" si="20"/>
        <v>219.82822171688966</v>
      </c>
      <c r="DI16" s="13">
        <f t="shared" si="20"/>
        <v>215.43165728255187</v>
      </c>
      <c r="DJ16" s="13">
        <f t="shared" si="20"/>
        <v>211.12302413690082</v>
      </c>
      <c r="DK16" s="13">
        <f t="shared" si="20"/>
        <v>206.9005636541628</v>
      </c>
      <c r="DL16" s="13">
        <f t="shared" si="20"/>
        <v>202.76255238107953</v>
      </c>
      <c r="DM16" s="13">
        <f t="shared" si="20"/>
        <v>198.70730133345793</v>
      </c>
      <c r="DN16" s="13">
        <f t="shared" si="20"/>
        <v>194.73315530678877</v>
      </c>
      <c r="DO16" s="13">
        <f t="shared" si="20"/>
        <v>190.83849220065301</v>
      </c>
      <c r="DP16" s="13">
        <f t="shared" si="20"/>
        <v>187.02172235663994</v>
      </c>
      <c r="DQ16" s="13">
        <f t="shared" si="20"/>
        <v>183.28128790950714</v>
      </c>
      <c r="DR16" s="13">
        <f t="shared" si="20"/>
        <v>179.615662151317</v>
      </c>
      <c r="DS16" s="13">
        <f t="shared" si="20"/>
        <v>176.02334890829064</v>
      </c>
      <c r="DT16" s="13">
        <f t="shared" si="20"/>
        <v>172.50288193012483</v>
      </c>
      <c r="DU16" s="13">
        <f t="shared" si="20"/>
        <v>169.05282429152234</v>
      </c>
      <c r="DV16" s="13">
        <f t="shared" si="20"/>
        <v>165.6717678056919</v>
      </c>
      <c r="DW16" s="13">
        <f t="shared" si="20"/>
        <v>162.35833244957806</v>
      </c>
      <c r="DX16" s="13">
        <f t="shared" si="20"/>
        <v>159.11116580058649</v>
      </c>
      <c r="DY16" s="13">
        <f t="shared" si="20"/>
        <v>155.92894248457475</v>
      </c>
      <c r="DZ16" s="13">
        <f t="shared" si="20"/>
        <v>152.81036363488326</v>
      </c>
      <c r="EA16" s="13">
        <f t="shared" si="20"/>
        <v>149.7541563621856</v>
      </c>
      <c r="EB16" s="13">
        <f t="shared" si="20"/>
        <v>146.75907323494189</v>
      </c>
      <c r="EC16" s="13">
        <f t="shared" si="20"/>
        <v>143.82389177024305</v>
      </c>
      <c r="ED16" s="13">
        <f t="shared" si="20"/>
        <v>140.94741393483818</v>
      </c>
    </row>
    <row r="17" spans="1:37" s="10" customFormat="1" x14ac:dyDescent="0.2">
      <c r="A17" s="5" t="s">
        <v>34</v>
      </c>
      <c r="B17" s="10">
        <f t="shared" ref="B17:I17" si="21">+B16/B18</f>
        <v>0.63523411914702166</v>
      </c>
      <c r="C17" s="10">
        <f t="shared" si="21"/>
        <v>0.6701101060747312</v>
      </c>
      <c r="D17" s="10">
        <f t="shared" si="21"/>
        <v>0.705252422233554</v>
      </c>
      <c r="E17" s="10">
        <f t="shared" si="21"/>
        <v>0.736122661122661</v>
      </c>
      <c r="F17" s="10">
        <f t="shared" si="21"/>
        <v>0.77265125169237259</v>
      </c>
      <c r="G17" s="10">
        <f t="shared" si="21"/>
        <v>0.94515827434219302</v>
      </c>
      <c r="H17" s="10">
        <f t="shared" si="21"/>
        <v>1.2421224097415084</v>
      </c>
      <c r="I17" s="10">
        <f t="shared" si="21"/>
        <v>1.0753682314294795</v>
      </c>
      <c r="J17" s="10">
        <f t="shared" ref="J17" si="22">+J16/J18</f>
        <v>1.0383850701163746</v>
      </c>
      <c r="O17" s="10">
        <f>+O16/O18</f>
        <v>2.2479381443298974</v>
      </c>
      <c r="P17" s="10">
        <f>+P16/P18</f>
        <v>1.7687820928261639</v>
      </c>
      <c r="Q17" s="10">
        <f>+Q16/Q18</f>
        <v>2.7448149654331018</v>
      </c>
      <c r="R17" s="10">
        <f>+R16/R18</f>
        <v>4.0315674698154345</v>
      </c>
      <c r="S17" s="10">
        <f t="shared" ref="S17:AH17" si="23">+S16/S18</f>
        <v>3.9702833360358913</v>
      </c>
      <c r="T17" s="10">
        <f t="shared" si="23"/>
        <v>4.7539200136256268</v>
      </c>
      <c r="U17" s="10">
        <f t="shared" si="23"/>
        <v>5.6483603070192752</v>
      </c>
      <c r="V17" s="10">
        <f t="shared" si="23"/>
        <v>6.6685132816884147</v>
      </c>
      <c r="W17" s="10">
        <f t="shared" si="23"/>
        <v>7.8312900055186239</v>
      </c>
      <c r="X17" s="10">
        <f t="shared" si="23"/>
        <v>9.1558801853810596</v>
      </c>
      <c r="Y17" s="10">
        <f t="shared" si="23"/>
        <v>10.664068868516987</v>
      </c>
      <c r="Z17" s="10">
        <f t="shared" si="23"/>
        <v>12.380599386077948</v>
      </c>
      <c r="AA17" s="10">
        <f t="shared" si="23"/>
        <v>14.333589743826176</v>
      </c>
      <c r="AB17" s="10">
        <f t="shared" si="23"/>
        <v>16.555010879162836</v>
      </c>
      <c r="AC17" s="10">
        <f t="shared" si="23"/>
        <v>19.081236641523063</v>
      </c>
      <c r="AD17" s="10">
        <f t="shared" si="23"/>
        <v>21.953677060152355</v>
      </c>
      <c r="AE17" s="10">
        <f t="shared" si="23"/>
        <v>25.219508494937088</v>
      </c>
      <c r="AF17" s="10">
        <f t="shared" si="23"/>
        <v>28.932516690583778</v>
      </c>
      <c r="AG17" s="10">
        <f t="shared" si="23"/>
        <v>33.154071656226186</v>
      </c>
      <c r="AH17" s="10">
        <f t="shared" si="23"/>
        <v>37.9542567757101</v>
      </c>
    </row>
    <row r="18" spans="1:37" x14ac:dyDescent="0.2">
      <c r="A18" t="s">
        <v>4</v>
      </c>
      <c r="B18" s="7">
        <v>40.000999999999998</v>
      </c>
      <c r="C18" s="7">
        <v>39.689</v>
      </c>
      <c r="D18" s="7">
        <v>39.22</v>
      </c>
      <c r="E18" s="7">
        <v>38.479999999999997</v>
      </c>
      <c r="F18" s="7">
        <v>37.668999999999997</v>
      </c>
      <c r="G18" s="7">
        <v>37.435000000000002</v>
      </c>
      <c r="H18" s="7">
        <v>37.448</v>
      </c>
      <c r="I18" s="7">
        <v>37.747999999999998</v>
      </c>
      <c r="J18" s="7">
        <v>37.722999999999999</v>
      </c>
      <c r="N18" s="7"/>
      <c r="O18" s="7">
        <v>40.74</v>
      </c>
      <c r="P18" s="7">
        <v>40.118000000000002</v>
      </c>
      <c r="Q18" s="7">
        <v>39.344000000000001</v>
      </c>
      <c r="R18" s="7">
        <v>37.601999999999997</v>
      </c>
      <c r="S18" s="7">
        <f>+R18-0.6</f>
        <v>37.001999999999995</v>
      </c>
      <c r="T18" s="7">
        <f t="shared" ref="T18:AH18" si="24">+S18-0.6</f>
        <v>36.401999999999994</v>
      </c>
      <c r="U18" s="7">
        <f t="shared" si="24"/>
        <v>35.801999999999992</v>
      </c>
      <c r="V18" s="7">
        <f t="shared" si="24"/>
        <v>35.201999999999991</v>
      </c>
      <c r="W18" s="7">
        <f t="shared" si="24"/>
        <v>34.60199999999999</v>
      </c>
      <c r="X18" s="7">
        <f t="shared" si="24"/>
        <v>34.001999999999988</v>
      </c>
      <c r="Y18" s="7">
        <f t="shared" si="24"/>
        <v>33.401999999999987</v>
      </c>
      <c r="Z18" s="7">
        <f t="shared" si="24"/>
        <v>32.801999999999985</v>
      </c>
      <c r="AA18" s="7">
        <f t="shared" si="24"/>
        <v>32.201999999999984</v>
      </c>
      <c r="AB18" s="7">
        <f t="shared" si="24"/>
        <v>31.601999999999983</v>
      </c>
      <c r="AC18" s="7">
        <f t="shared" si="24"/>
        <v>31.001999999999981</v>
      </c>
      <c r="AD18" s="7">
        <f t="shared" si="24"/>
        <v>30.40199999999998</v>
      </c>
      <c r="AE18" s="7">
        <f t="shared" si="24"/>
        <v>29.801999999999978</v>
      </c>
      <c r="AF18" s="7">
        <f t="shared" si="24"/>
        <v>29.201999999999977</v>
      </c>
      <c r="AG18" s="7">
        <f t="shared" si="24"/>
        <v>28.601999999999975</v>
      </c>
      <c r="AH18" s="7">
        <f t="shared" si="24"/>
        <v>28.001999999999974</v>
      </c>
    </row>
    <row r="19" spans="1:37" x14ac:dyDescent="0.2"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7" s="11" customFormat="1" x14ac:dyDescent="0.2">
      <c r="A20" s="4" t="s">
        <v>82</v>
      </c>
      <c r="B20" s="11">
        <f>+B7/B4</f>
        <v>0.20372950096984657</v>
      </c>
      <c r="C20" s="11">
        <f t="shared" ref="C20:I20" si="25">+C7/C4</f>
        <v>0.20677604197075727</v>
      </c>
      <c r="D20" s="11">
        <f t="shared" si="25"/>
        <v>0.2029133249974116</v>
      </c>
      <c r="E20" s="11">
        <f t="shared" si="25"/>
        <v>0.21253505949606036</v>
      </c>
      <c r="F20" s="11">
        <f t="shared" si="25"/>
        <v>0.21269025045338724</v>
      </c>
      <c r="G20" s="11">
        <f t="shared" si="25"/>
        <v>0.19987027090059689</v>
      </c>
      <c r="H20" s="11">
        <f t="shared" si="25"/>
        <v>0.19565339868728696</v>
      </c>
      <c r="I20" s="11">
        <f t="shared" si="25"/>
        <v>0.19001867607387427</v>
      </c>
      <c r="J20" s="11">
        <f t="shared" ref="J20" si="26">+J7/J4</f>
        <v>0.18881382668632762</v>
      </c>
      <c r="O20" s="11">
        <f t="shared" ref="O20:AH20" si="27">+O7/O4</f>
        <v>0.19987712246151812</v>
      </c>
      <c r="P20" s="11">
        <f t="shared" si="27"/>
        <v>0.19770071892054905</v>
      </c>
      <c r="Q20" s="11">
        <f t="shared" si="27"/>
        <v>0.20661884371369121</v>
      </c>
      <c r="R20" s="11">
        <f t="shared" si="27"/>
        <v>0.19924322491514235</v>
      </c>
      <c r="S20" s="11">
        <f t="shared" si="27"/>
        <v>0.19924322491514235</v>
      </c>
      <c r="T20" s="11">
        <f t="shared" si="27"/>
        <v>0.19924322491514232</v>
      </c>
      <c r="U20" s="11">
        <f t="shared" si="27"/>
        <v>0.19924322491514235</v>
      </c>
      <c r="V20" s="11">
        <f t="shared" si="27"/>
        <v>0.19924322491514235</v>
      </c>
      <c r="W20" s="11">
        <f t="shared" si="27"/>
        <v>0.19924322491514235</v>
      </c>
      <c r="X20" s="11">
        <f t="shared" si="27"/>
        <v>0.19924322491514235</v>
      </c>
      <c r="Y20" s="11">
        <f t="shared" si="27"/>
        <v>0.19924322491514235</v>
      </c>
      <c r="Z20" s="11">
        <f t="shared" si="27"/>
        <v>0.19924322491514235</v>
      </c>
      <c r="AA20" s="11">
        <f t="shared" si="27"/>
        <v>0.19924322491514238</v>
      </c>
      <c r="AB20" s="11">
        <f t="shared" si="27"/>
        <v>0.19924322491514235</v>
      </c>
      <c r="AC20" s="11">
        <f t="shared" si="27"/>
        <v>0.19924322491514232</v>
      </c>
      <c r="AD20" s="11">
        <f t="shared" si="27"/>
        <v>0.19924322491514232</v>
      </c>
      <c r="AE20" s="11">
        <f t="shared" si="27"/>
        <v>0.19924322491514232</v>
      </c>
      <c r="AF20" s="11">
        <f t="shared" si="27"/>
        <v>0.19924322491514229</v>
      </c>
      <c r="AG20" s="11">
        <f t="shared" si="27"/>
        <v>0.19924322491514232</v>
      </c>
      <c r="AH20" s="11">
        <f t="shared" si="27"/>
        <v>0.19924322491514232</v>
      </c>
      <c r="AJ20" s="19" t="s">
        <v>85</v>
      </c>
      <c r="AK20" s="11">
        <v>-0.02</v>
      </c>
    </row>
    <row r="21" spans="1:37" s="11" customFormat="1" x14ac:dyDescent="0.2">
      <c r="A21" s="4" t="s">
        <v>35</v>
      </c>
      <c r="B21" s="11">
        <f>+B6/B4</f>
        <v>0.78837947451948509</v>
      </c>
      <c r="C21" s="11">
        <f>+C6/C4</f>
        <v>0.79109706154654569</v>
      </c>
      <c r="D21" s="11">
        <f>+D6/D4</f>
        <v>0.79299304720414776</v>
      </c>
      <c r="E21" s="11">
        <f>+E6/E4</f>
        <v>0.78793876911554539</v>
      </c>
      <c r="F21" s="11">
        <f>+F6/F4</f>
        <v>0.79374516960890085</v>
      </c>
      <c r="G21" s="11">
        <f>+G6/G4</f>
        <v>0.80568330065812011</v>
      </c>
      <c r="H21" s="11">
        <f>+H6/H4</f>
        <v>0.81169187864446879</v>
      </c>
      <c r="I21" s="11">
        <f>+I6/I4</f>
        <v>0.81234004288579931</v>
      </c>
      <c r="J21" s="11">
        <f>+J6/J4</f>
        <v>0.81346318713350019</v>
      </c>
      <c r="O21" s="11">
        <f>+O6/O4</f>
        <v>0.78172430798731551</v>
      </c>
      <c r="P21" s="11">
        <f>+P6/P4</f>
        <v>0.78247789246349475</v>
      </c>
      <c r="Q21" s="11">
        <f>+Q6/Q4</f>
        <v>0.79010991928089958</v>
      </c>
      <c r="R21" s="11">
        <f>+R6/R4</f>
        <v>0.80614401812220216</v>
      </c>
      <c r="S21" s="11">
        <f>+S6/S4</f>
        <v>0.81495565366210221</v>
      </c>
      <c r="T21" s="11">
        <f>+T6/T4</f>
        <v>0.82336676031382472</v>
      </c>
      <c r="U21" s="11">
        <f>+U6/U4</f>
        <v>0.83139554393592363</v>
      </c>
      <c r="V21" s="11">
        <f>+V6/V4</f>
        <v>0.83905938284792703</v>
      </c>
      <c r="W21" s="11">
        <f>+W6/W4</f>
        <v>0.84637486544574858</v>
      </c>
      <c r="X21" s="11">
        <f>+X6/X4</f>
        <v>0.85335782610730548</v>
      </c>
      <c r="Y21" s="11">
        <f>+Y6/Y4</f>
        <v>0.86002337946606444</v>
      </c>
      <c r="Z21" s="11">
        <f>+Z6/Z4</f>
        <v>0.86638595312669775</v>
      </c>
      <c r="AA21" s="11">
        <f>+AA6/AA4</f>
        <v>0.87245931889366601</v>
      </c>
      <c r="AB21" s="11">
        <f>+AB6/AB4</f>
        <v>0.87825662258031756</v>
      </c>
      <c r="AC21" s="11">
        <f>+AC6/AC4</f>
        <v>0.88379041246303047</v>
      </c>
      <c r="AD21" s="11">
        <f>+AD6/AD4</f>
        <v>0.88907266644198357</v>
      </c>
      <c r="AE21" s="11">
        <f>+AE6/AE4</f>
        <v>0.89411481796734804</v>
      </c>
      <c r="AF21" s="11">
        <f>+AF6/AF4</f>
        <v>0.89892778078701407</v>
      </c>
      <c r="AG21" s="11">
        <f>+AG6/AG4</f>
        <v>0.90352197256942235</v>
      </c>
      <c r="AH21" s="11">
        <f>+AH6/AH4</f>
        <v>0.90790733745263053</v>
      </c>
      <c r="AJ21" s="19" t="s">
        <v>77</v>
      </c>
      <c r="AK21" s="11">
        <v>0.1</v>
      </c>
    </row>
    <row r="22" spans="1:37" s="11" customFormat="1" x14ac:dyDescent="0.2">
      <c r="A22" s="4" t="s">
        <v>36</v>
      </c>
      <c r="B22" s="11">
        <f>+B11/B4</f>
        <v>0.29567095750308597</v>
      </c>
      <c r="C22" s="11">
        <f>+C11/C4</f>
        <v>0.27518704177891962</v>
      </c>
      <c r="D22" s="11">
        <f>+D11/D4</f>
        <v>0.26557609448793801</v>
      </c>
      <c r="E22" s="11">
        <f>+E11/E4</f>
        <v>0.23441524199649971</v>
      </c>
      <c r="F22" s="11">
        <f>+F11/F4</f>
        <v>0.26918573953765973</v>
      </c>
      <c r="G22" s="11">
        <f>+G11/G4</f>
        <v>0.31212967079418985</v>
      </c>
      <c r="H22" s="11">
        <f>+H11/H4</f>
        <v>0.3070156905828334</v>
      </c>
      <c r="I22" s="11">
        <f>+I11/I4</f>
        <v>0.2868437435152521</v>
      </c>
      <c r="J22" s="11">
        <f>+J11/J4</f>
        <v>0.3069922156304653</v>
      </c>
      <c r="O22" s="11">
        <f>+O11/O4</f>
        <v>0.26629160548044845</v>
      </c>
      <c r="P22" s="11">
        <f>+P11/P4</f>
        <v>0.21325138871323934</v>
      </c>
      <c r="Q22" s="11">
        <f>+Q11/Q4</f>
        <v>0.26657314441020735</v>
      </c>
      <c r="R22" s="11">
        <f>+R11/R4</f>
        <v>0.29410523430088475</v>
      </c>
      <c r="S22" s="11">
        <f>+S11/S4</f>
        <v>0.3191594641646765</v>
      </c>
      <c r="T22" s="11">
        <f>+T11/T4</f>
        <v>0.34294602630179327</v>
      </c>
      <c r="U22" s="11">
        <f>+U11/U4</f>
        <v>0.36553074082413411</v>
      </c>
      <c r="V22" s="11">
        <f>+V11/V4</f>
        <v>0.38697591427522854</v>
      </c>
      <c r="W22" s="11">
        <f>+W11/W4</f>
        <v>0.40734053253985031</v>
      </c>
      <c r="X22" s="11">
        <f>+X11/X4</f>
        <v>0.426680442872161</v>
      </c>
      <c r="Y22" s="11">
        <f>+Y11/Y4</f>
        <v>0.44504852567144909</v>
      </c>
      <c r="Z22" s="11">
        <f>+Z11/Z4</f>
        <v>0.46249485659738032</v>
      </c>
      <c r="AA22" s="11">
        <f>+AA11/AA4</f>
        <v>0.47906685958176115</v>
      </c>
      <c r="AB22" s="11">
        <f>+AB11/AB4</f>
        <v>0.49480945126099157</v>
      </c>
      <c r="AC22" s="11">
        <f>+AC11/AC4</f>
        <v>0.50976517732253812</v>
      </c>
      <c r="AD22" s="11">
        <f>+AD11/AD4</f>
        <v>0.5239743412297535</v>
      </c>
      <c r="AE22" s="11">
        <f>+AE11/AE4</f>
        <v>0.53747512576210577</v>
      </c>
      <c r="AF22" s="11">
        <f>+AF11/AF4</f>
        <v>0.55030370778224524</v>
      </c>
      <c r="AG22" s="11">
        <f>+AG11/AG4</f>
        <v>0.56249436661723673</v>
      </c>
      <c r="AH22" s="11">
        <f>+AH11/AH4</f>
        <v>0.57407958641862533</v>
      </c>
      <c r="AJ22" s="19" t="s">
        <v>78</v>
      </c>
      <c r="AK22" s="24">
        <f>+NPV(AK21,S16:ED16)</f>
        <v>4909.9154580651202</v>
      </c>
    </row>
    <row r="23" spans="1:37" s="11" customFormat="1" x14ac:dyDescent="0.2">
      <c r="A23" s="4" t="s">
        <v>37</v>
      </c>
      <c r="B23" s="11">
        <f>+B16/B4</f>
        <v>0.2240345618056781</v>
      </c>
      <c r="C23" s="11">
        <f>+C16/C4</f>
        <v>0.22183113276004443</v>
      </c>
      <c r="D23" s="11">
        <f>+D16/D4</f>
        <v>0.22029133249974103</v>
      </c>
      <c r="E23" s="11">
        <f>+E16/E4</f>
        <v>0.21647853632813394</v>
      </c>
      <c r="F23" s="11">
        <f>+F16/F4</f>
        <v>0.22271450762532222</v>
      </c>
      <c r="G23" s="11">
        <f>+G16/G4</f>
        <v>0.25786938174609536</v>
      </c>
      <c r="H23" s="11">
        <f>+H16/H4</f>
        <v>0.32757965013098966</v>
      </c>
      <c r="I23" s="11">
        <f>+I16/I4</f>
        <v>0.28078439510271835</v>
      </c>
      <c r="J23" s="11">
        <f>+J16/J4</f>
        <v>0.26865333836288191</v>
      </c>
      <c r="O23" s="11">
        <f>+O16/O4</f>
        <v>0.25231497425357408</v>
      </c>
      <c r="P23" s="11">
        <f>+P16/P4</f>
        <v>0.1725798449310752</v>
      </c>
      <c r="Q23" s="11">
        <f>+Q16/Q4</f>
        <v>0.22051649606001753</v>
      </c>
      <c r="R23" s="11">
        <f>+R16/R4</f>
        <v>0.27341115107005393</v>
      </c>
      <c r="S23" s="11">
        <f>+S16/S4</f>
        <v>0.24087146858242237</v>
      </c>
      <c r="T23" s="11">
        <f>+T16/T4</f>
        <v>0.25794261076463654</v>
      </c>
      <c r="U23" s="11">
        <f>+U16/U4</f>
        <v>0.27402044741908205</v>
      </c>
      <c r="V23" s="11">
        <f>+V16/V4</f>
        <v>0.28917248318523231</v>
      </c>
      <c r="W23" s="11">
        <f>+W16/W4</f>
        <v>0.30346068151480893</v>
      </c>
      <c r="X23" s="11">
        <f>+X16/X4</f>
        <v>0.31694200342861573</v>
      </c>
      <c r="Y23" s="11">
        <f>+Y16/Y4</f>
        <v>0.32966888754351881</v>
      </c>
      <c r="Z23" s="11">
        <f>+Z16/Z4</f>
        <v>0.34168967819168428</v>
      </c>
      <c r="AA23" s="11">
        <f>+AA16/AA4</f>
        <v>0.35304900763607266</v>
      </c>
      <c r="AB23" s="11">
        <f>+AB16/AB4</f>
        <v>0.3637881376676968</v>
      </c>
      <c r="AC23" s="11">
        <f>+AC16/AC4</f>
        <v>0.37394526523907778</v>
      </c>
      <c r="AD23" s="11">
        <f>+AD16/AD4</f>
        <v>0.38355579623394398</v>
      </c>
      <c r="AE23" s="11">
        <f>+AE16/AE4</f>
        <v>0.39265259098612176</v>
      </c>
      <c r="AF23" s="11">
        <f>+AF16/AF4</f>
        <v>0.40126618473251452</v>
      </c>
      <c r="AG23" s="11">
        <f>+AG16/AG4</f>
        <v>0.40942498580883879</v>
      </c>
      <c r="AH23" s="11">
        <f>+AH16/AH4</f>
        <v>0.41715545406603938</v>
      </c>
      <c r="AJ23" s="20" t="s">
        <v>40</v>
      </c>
      <c r="AK23" s="7">
        <f>+R28</f>
        <v>484.90199999999999</v>
      </c>
    </row>
    <row r="24" spans="1:37" s="11" customFormat="1" x14ac:dyDescent="0.2">
      <c r="A24" s="4" t="s">
        <v>38</v>
      </c>
      <c r="B24" s="11">
        <f t="shared" ref="B24:I24" si="28">+B15/B14</f>
        <v>0.23792100290915627</v>
      </c>
      <c r="C24" s="11">
        <f t="shared" si="28"/>
        <v>0.1720316294128634</v>
      </c>
      <c r="D24" s="11">
        <f t="shared" si="28"/>
        <v>0.18257580235238496</v>
      </c>
      <c r="E24" s="11">
        <f t="shared" si="28"/>
        <v>0.17649795040265143</v>
      </c>
      <c r="F24" s="11">
        <f t="shared" si="28"/>
        <v>0.22093739125779607</v>
      </c>
      <c r="G24" s="11">
        <f t="shared" si="28"/>
        <v>0.22538695623618013</v>
      </c>
      <c r="H24" s="11">
        <f t="shared" si="28"/>
        <v>3.140162005705599E-2</v>
      </c>
      <c r="I24" s="11">
        <f t="shared" si="28"/>
        <v>0.14706253151790219</v>
      </c>
      <c r="J24" s="11">
        <f t="shared" ref="J24" si="29">+J15/J14</f>
        <v>0.1993663771078181</v>
      </c>
      <c r="O24" s="11">
        <f>+O15/O14</f>
        <v>0.10255179036904923</v>
      </c>
      <c r="P24" s="11">
        <f>+P15/P14</f>
        <v>0.20623734577222941</v>
      </c>
      <c r="Q24" s="11">
        <f>+Q15/Q14</f>
        <v>0.19228122662677641</v>
      </c>
      <c r="R24" s="11">
        <f>+R15/R14</f>
        <v>0.15144611561088384</v>
      </c>
      <c r="S24" s="11">
        <f>+S15/S14</f>
        <v>0.2</v>
      </c>
      <c r="T24" s="11">
        <f>+T15/T14</f>
        <v>0.20000000000000004</v>
      </c>
      <c r="U24" s="11">
        <f>+U15/U14</f>
        <v>0.2</v>
      </c>
      <c r="V24" s="11">
        <f>+V15/V14</f>
        <v>0.2</v>
      </c>
      <c r="W24" s="11">
        <f>+W15/W14</f>
        <v>0.2</v>
      </c>
      <c r="X24" s="11">
        <f>+X15/X14</f>
        <v>0.2</v>
      </c>
      <c r="Y24" s="11">
        <f>+Y15/Y14</f>
        <v>0.20000000000000004</v>
      </c>
      <c r="Z24" s="11">
        <f>+Z15/Z14</f>
        <v>0.2</v>
      </c>
      <c r="AA24" s="11">
        <f>+AA15/AA14</f>
        <v>0.2</v>
      </c>
      <c r="AB24" s="11">
        <f>+AB15/AB14</f>
        <v>0.2</v>
      </c>
      <c r="AC24" s="11">
        <f>+AC15/AC14</f>
        <v>0.19999999999999998</v>
      </c>
      <c r="AD24" s="11">
        <f>+AD15/AD14</f>
        <v>0.2</v>
      </c>
      <c r="AE24" s="11">
        <f>+AE15/AE14</f>
        <v>0.2</v>
      </c>
      <c r="AF24" s="11">
        <f>+AF15/AF14</f>
        <v>0.2</v>
      </c>
      <c r="AG24" s="11">
        <f>+AG15/AG14</f>
        <v>0.2</v>
      </c>
      <c r="AH24" s="11">
        <f>+AH15/AH14</f>
        <v>0.2</v>
      </c>
      <c r="AJ24" s="20" t="s">
        <v>79</v>
      </c>
      <c r="AK24" s="7">
        <f>+AK22+AK23</f>
        <v>5394.8174580651203</v>
      </c>
    </row>
    <row r="25" spans="1:37" x14ac:dyDescent="0.2">
      <c r="AJ25" s="20" t="s">
        <v>81</v>
      </c>
      <c r="AK25" s="7">
        <f>+Main!L2</f>
        <v>142</v>
      </c>
    </row>
    <row r="26" spans="1:37" s="16" customFormat="1" x14ac:dyDescent="0.2">
      <c r="A26" s="15" t="s">
        <v>39</v>
      </c>
      <c r="F26" s="16">
        <f>+F4/B4-1</f>
        <v>0.15220419679068931</v>
      </c>
      <c r="G26" s="16">
        <f>+G4/C4-1</f>
        <v>0.14442878233091183</v>
      </c>
      <c r="H26" s="16">
        <f>+H4/D4-1</f>
        <v>0.13089255421667567</v>
      </c>
      <c r="I26" s="16">
        <f>+I4/E4-1</f>
        <v>0.10486132870713583</v>
      </c>
      <c r="J26" s="16">
        <f>+J4/F4-1</f>
        <v>0.11571512744580414</v>
      </c>
      <c r="P26" s="16">
        <f>+P4/O4-1</f>
        <v>0.13282070073258145</v>
      </c>
      <c r="Q26" s="16">
        <f>+Q4/P4-1</f>
        <v>0.19104170517447683</v>
      </c>
      <c r="R26" s="16">
        <f>+R4/Q4-1</f>
        <v>0.13218697100197452</v>
      </c>
      <c r="S26" s="16">
        <f>+S4/R4-1</f>
        <v>0.10000000000000009</v>
      </c>
      <c r="T26" s="16">
        <f>+T4/S4-1</f>
        <v>0.10000000000000009</v>
      </c>
      <c r="U26" s="16">
        <f>+U4/T4-1</f>
        <v>0.10000000000000009</v>
      </c>
      <c r="V26" s="16">
        <f>+V4/U4-1</f>
        <v>0.10000000000000009</v>
      </c>
      <c r="W26" s="16">
        <f>+W4/V4-1</f>
        <v>0.10000000000000009</v>
      </c>
      <c r="X26" s="16">
        <f>+X4/W4-1</f>
        <v>0.10000000000000009</v>
      </c>
      <c r="Y26" s="16">
        <f>+Y4/X4-1</f>
        <v>0.10000000000000009</v>
      </c>
      <c r="Z26" s="16">
        <f>+Z4/Y4-1</f>
        <v>0.10000000000000009</v>
      </c>
      <c r="AA26" s="16">
        <f>+AA4/Z4-1</f>
        <v>0.10000000000000009</v>
      </c>
      <c r="AB26" s="16">
        <f>+AB4/AA4-1</f>
        <v>0.10000000000000009</v>
      </c>
      <c r="AC26" s="16">
        <f>+AC4/AB4-1</f>
        <v>0.10000000000000009</v>
      </c>
      <c r="AD26" s="16">
        <f>+AD4/AC4-1</f>
        <v>0.10000000000000009</v>
      </c>
      <c r="AE26" s="16">
        <f>+AE4/AD4-1</f>
        <v>0.10000000000000009</v>
      </c>
      <c r="AF26" s="16">
        <f>+AF4/AE4-1</f>
        <v>0.10000000000000009</v>
      </c>
      <c r="AG26" s="16">
        <f>+AG4/AF4-1</f>
        <v>0.10000000000000009</v>
      </c>
      <c r="AH26" s="16">
        <f>+AH4/AG4-1</f>
        <v>0.10000000000000009</v>
      </c>
      <c r="AJ26" s="20" t="s">
        <v>80</v>
      </c>
      <c r="AK26" s="7">
        <f>+AK24/Main!L3</f>
        <v>143.01135800612678</v>
      </c>
    </row>
    <row r="27" spans="1:37" x14ac:dyDescent="0.2">
      <c r="AJ27" s="20" t="s">
        <v>86</v>
      </c>
      <c r="AK27" s="11">
        <f>+AK26/AK25-1</f>
        <v>7.1222394797660904E-3</v>
      </c>
    </row>
    <row r="28" spans="1:37" x14ac:dyDescent="0.2">
      <c r="A28" s="4" t="s">
        <v>40</v>
      </c>
      <c r="E28" s="7">
        <f>173.719+147.608+59.206+2.7</f>
        <v>383.233</v>
      </c>
      <c r="F28" s="7">
        <f>193.854+139.925+44.587+2.7</f>
        <v>381.06599999999997</v>
      </c>
      <c r="G28" s="7">
        <f>186.145+163.107+38.838+2.7</f>
        <v>390.79</v>
      </c>
      <c r="H28" s="7">
        <f>208.724+1.5+218.69+33.648+1.2</f>
        <v>463.762</v>
      </c>
      <c r="I28" s="7">
        <f>203.665+1.5+221.893+56.644+1.2</f>
        <v>484.90199999999999</v>
      </c>
      <c r="J28" s="7">
        <f>273.783+179.887+89.693+1.2</f>
        <v>544.5630000000001</v>
      </c>
      <c r="R28" s="7">
        <f>+I28</f>
        <v>484.90199999999999</v>
      </c>
      <c r="S28" s="7">
        <f>+S16+R28*$AK$20+R28</f>
        <v>622.11238400000002</v>
      </c>
      <c r="T28" s="7">
        <f>+T16+S28*$AK$20+S28</f>
        <v>782.72233265600005</v>
      </c>
      <c r="U28" s="7">
        <f>+U16+T28*$AK$20+T28</f>
        <v>969.29048171478405</v>
      </c>
      <c r="V28" s="7">
        <f>+V16+U28*$AK$20+U28</f>
        <v>1184.6496766224839</v>
      </c>
      <c r="W28" s="7">
        <f>+W16+V28*$AK$20+V28</f>
        <v>1431.9349798609896</v>
      </c>
      <c r="X28" s="7">
        <f>+X16+W28*$AK$20+W28</f>
        <v>1714.6145183270964</v>
      </c>
      <c r="Y28" s="7">
        <f>+Y16+X28*$AK$20+X28</f>
        <v>2036.5234563067588</v>
      </c>
      <c r="Z28" s="7">
        <f>+Z16+Y28*$AK$20+Y28</f>
        <v>2401.9014082427525</v>
      </c>
      <c r="AA28" s="7">
        <f>+AA16+Z28*$AK$20+Z28</f>
        <v>2815.4336370085875</v>
      </c>
      <c r="AB28" s="7">
        <f>+AB16+AA28*$AK$20+AA28</f>
        <v>3282.2964180717195</v>
      </c>
      <c r="AC28" s="7">
        <f>+AC16+AB28*$AK$20+AB28</f>
        <v>3808.2069880707827</v>
      </c>
      <c r="AD28" s="7">
        <f>+AD16+AC28*$AK$20+AC28</f>
        <v>4399.4785382921182</v>
      </c>
      <c r="AE28" s="7">
        <f>+AE16+AD28*$AK$20+AD28</f>
        <v>5063.0807596923905</v>
      </c>
      <c r="AF28" s="7">
        <f>+AF16+AE28*$AK$20+AE28</f>
        <v>5806.7064968969698</v>
      </c>
      <c r="AG28" s="7">
        <f>+AG16+AF28*$AK$20+AF28</f>
        <v>6638.8451244704111</v>
      </c>
      <c r="AH28" s="7">
        <f>+AH16+AG28*$AK$20+AG28</f>
        <v>7568.8633202144356</v>
      </c>
    </row>
    <row r="29" spans="1:37" x14ac:dyDescent="0.2">
      <c r="A29" s="4" t="s">
        <v>6</v>
      </c>
      <c r="E29" s="7">
        <f>173.719+147.608+59.206+2.7</f>
        <v>383.233</v>
      </c>
      <c r="F29" s="7">
        <f>193.854+139.925+44.587+2.7</f>
        <v>381.06599999999997</v>
      </c>
      <c r="G29" s="7">
        <f>186.145+163.107+38.838+2.7</f>
        <v>390.79</v>
      </c>
      <c r="H29" s="7">
        <f>208.724+1.5+218.69+33.648+1.2</f>
        <v>463.762</v>
      </c>
      <c r="I29" s="7">
        <f>203.665+1.5+221.893+56.644+1.2</f>
        <v>484.90199999999999</v>
      </c>
      <c r="J29" s="7">
        <f>273.783+179.887+89.693+1.2</f>
        <v>544.5630000000001</v>
      </c>
    </row>
    <row r="30" spans="1:37" x14ac:dyDescent="0.2">
      <c r="A30" s="4" t="s">
        <v>41</v>
      </c>
      <c r="E30" s="7">
        <v>121.795</v>
      </c>
      <c r="F30" s="7">
        <v>101.786</v>
      </c>
      <c r="G30" s="7">
        <v>124.91200000000001</v>
      </c>
      <c r="H30" s="7">
        <v>103.428</v>
      </c>
      <c r="I30" s="7">
        <v>146.226</v>
      </c>
      <c r="J30" s="7">
        <v>115.629</v>
      </c>
    </row>
    <row r="31" spans="1:37" x14ac:dyDescent="0.2">
      <c r="A31" s="4" t="s">
        <v>42</v>
      </c>
      <c r="E31" s="7">
        <v>30.216000000000001</v>
      </c>
      <c r="F31" s="7">
        <v>29.183</v>
      </c>
      <c r="G31" s="7">
        <v>34.017000000000003</v>
      </c>
      <c r="H31" s="7">
        <v>29.835999999999999</v>
      </c>
      <c r="I31" s="7">
        <v>26.713999999999999</v>
      </c>
      <c r="J31" s="7">
        <v>36.112000000000002</v>
      </c>
    </row>
    <row r="32" spans="1:37" x14ac:dyDescent="0.2">
      <c r="A32" s="4" t="s">
        <v>43</v>
      </c>
      <c r="E32" s="7">
        <v>47.427999999999997</v>
      </c>
      <c r="F32" s="7">
        <v>45.161000000000001</v>
      </c>
      <c r="G32" s="7">
        <v>40.35</v>
      </c>
      <c r="H32" s="7">
        <v>36.159999999999997</v>
      </c>
      <c r="I32" s="7">
        <v>32.598999999999997</v>
      </c>
      <c r="J32" s="7">
        <v>30.190999999999999</v>
      </c>
    </row>
    <row r="33" spans="1:13" x14ac:dyDescent="0.2">
      <c r="A33" s="4" t="s">
        <v>44</v>
      </c>
      <c r="E33" s="7">
        <v>33.752000000000002</v>
      </c>
      <c r="F33" s="7">
        <v>30.736999999999998</v>
      </c>
      <c r="G33" s="7">
        <v>27.992000000000001</v>
      </c>
      <c r="H33" s="7">
        <v>25.210999999999999</v>
      </c>
      <c r="I33" s="7">
        <v>22.390999999999998</v>
      </c>
      <c r="J33" s="7">
        <v>31.370999999999999</v>
      </c>
    </row>
    <row r="34" spans="1:13" x14ac:dyDescent="0.2">
      <c r="A34" s="4" t="s">
        <v>45</v>
      </c>
      <c r="E34" s="7">
        <v>45.411999999999999</v>
      </c>
      <c r="F34" s="7">
        <v>49.865000000000002</v>
      </c>
      <c r="G34" s="7">
        <v>54.890999999999998</v>
      </c>
      <c r="H34" s="7">
        <v>10.486000000000001</v>
      </c>
      <c r="I34" s="7">
        <v>62.761000000000003</v>
      </c>
      <c r="J34" s="7">
        <v>66.564999999999998</v>
      </c>
    </row>
    <row r="35" spans="1:13" x14ac:dyDescent="0.2">
      <c r="A35" s="4" t="s">
        <v>46</v>
      </c>
      <c r="E35" s="7">
        <f>7.447+12.801</f>
        <v>20.248000000000001</v>
      </c>
      <c r="F35" s="7">
        <f>12.03+7.447</f>
        <v>19.477</v>
      </c>
      <c r="G35" s="7">
        <f>11.258+7.447</f>
        <v>18.704999999999998</v>
      </c>
      <c r="H35" s="7">
        <f>10.486+7.447</f>
        <v>17.933</v>
      </c>
      <c r="I35" s="7">
        <f>7.447+9.715</f>
        <v>17.161999999999999</v>
      </c>
      <c r="J35" s="7">
        <f>8.943+7.447</f>
        <v>16.39</v>
      </c>
    </row>
    <row r="36" spans="1:13" x14ac:dyDescent="0.2">
      <c r="A36" s="4" t="s">
        <v>51</v>
      </c>
      <c r="E36" s="7">
        <v>18.856999999999999</v>
      </c>
      <c r="F36" s="7">
        <v>18.478000000000002</v>
      </c>
      <c r="G36" s="7">
        <v>17.927</v>
      </c>
      <c r="H36" s="7">
        <v>18.36</v>
      </c>
      <c r="I36" s="7">
        <v>19.863</v>
      </c>
      <c r="J36" s="7">
        <v>20.960999999999999</v>
      </c>
    </row>
    <row r="37" spans="1:13" s="14" customFormat="1" x14ac:dyDescent="0.2">
      <c r="A37" s="15" t="s">
        <v>47</v>
      </c>
      <c r="B37" s="13"/>
      <c r="C37" s="13"/>
      <c r="D37" s="13"/>
      <c r="E37" s="13">
        <f>SUM(E29:E36)</f>
        <v>700.94100000000003</v>
      </c>
      <c r="F37" s="13">
        <f>SUM(F29:F36)</f>
        <v>675.75299999999982</v>
      </c>
      <c r="G37" s="13">
        <f>SUM(G29:G36)</f>
        <v>709.58400000000006</v>
      </c>
      <c r="H37" s="13">
        <f>SUM(H29:H36)</f>
        <v>705.17600000000004</v>
      </c>
      <c r="I37" s="13">
        <f>SUM(I29:I36)</f>
        <v>812.61799999999994</v>
      </c>
      <c r="J37" s="13">
        <f>SUM(J29:J36)</f>
        <v>861.78200000000004</v>
      </c>
      <c r="K37" s="13"/>
      <c r="L37" s="13"/>
      <c r="M37" s="13"/>
    </row>
    <row r="38" spans="1:13" x14ac:dyDescent="0.2">
      <c r="A38" s="4" t="s">
        <v>48</v>
      </c>
      <c r="E38" s="7">
        <v>2.8079999999999998</v>
      </c>
      <c r="F38" s="7">
        <v>1.74</v>
      </c>
      <c r="G38" s="7">
        <v>2.16</v>
      </c>
      <c r="H38" s="7">
        <v>1.165</v>
      </c>
      <c r="I38" s="7">
        <v>0.98799999999999999</v>
      </c>
      <c r="J38" s="7">
        <v>0.64500000000000002</v>
      </c>
    </row>
    <row r="39" spans="1:13" x14ac:dyDescent="0.2">
      <c r="A39" s="4" t="s">
        <v>49</v>
      </c>
      <c r="E39" s="7">
        <v>42.591999999999999</v>
      </c>
      <c r="F39" s="7">
        <v>41.777000000000001</v>
      </c>
      <c r="G39" s="7">
        <v>52.637</v>
      </c>
      <c r="H39" s="7">
        <v>49.838000000000001</v>
      </c>
      <c r="I39" s="7">
        <v>43.095999999999997</v>
      </c>
      <c r="J39" s="7">
        <v>48.246000000000002</v>
      </c>
    </row>
    <row r="40" spans="1:13" x14ac:dyDescent="0.2">
      <c r="A40" s="4" t="s">
        <v>50</v>
      </c>
      <c r="E40" s="7">
        <f>293.728+23.49</f>
        <v>317.21800000000002</v>
      </c>
      <c r="F40" s="7">
        <f>296.516+21.931</f>
        <v>318.447</v>
      </c>
      <c r="G40" s="7">
        <f>302.446+34.774</f>
        <v>337.22</v>
      </c>
      <c r="H40" s="7">
        <f>307.179+32.287</f>
        <v>339.46599999999995</v>
      </c>
      <c r="I40" s="7">
        <f>333.267+31.671</f>
        <v>364.93799999999999</v>
      </c>
      <c r="J40" s="7">
        <f>332.128+31.311</f>
        <v>363.43899999999996</v>
      </c>
    </row>
    <row r="41" spans="1:13" x14ac:dyDescent="0.2">
      <c r="A41" s="4" t="s">
        <v>44</v>
      </c>
      <c r="E41" s="7">
        <f>13.06+29.121</f>
        <v>42.180999999999997</v>
      </c>
      <c r="F41" s="7">
        <f>12.925+25.913</f>
        <v>38.838000000000001</v>
      </c>
      <c r="G41" s="7">
        <f>11.877+22.872</f>
        <v>34.749000000000002</v>
      </c>
      <c r="H41" s="7">
        <f>12.309+19.655</f>
        <v>31.963999999999999</v>
      </c>
      <c r="I41" s="7">
        <f>11.857+16.885</f>
        <v>28.742000000000001</v>
      </c>
      <c r="J41" s="7">
        <f>10.046+27.784</f>
        <v>37.83</v>
      </c>
    </row>
    <row r="42" spans="1:13" x14ac:dyDescent="0.2">
      <c r="A42" s="4" t="s">
        <v>52</v>
      </c>
      <c r="E42" s="7">
        <v>7.0129999999999999</v>
      </c>
      <c r="F42" s="7">
        <v>7.1289999999999996</v>
      </c>
      <c r="G42" s="7">
        <v>5.8</v>
      </c>
      <c r="H42" s="7">
        <v>6.5110000000000001</v>
      </c>
      <c r="I42" s="7">
        <v>6.68</v>
      </c>
      <c r="J42" s="7">
        <v>7.42</v>
      </c>
    </row>
    <row r="43" spans="1:13" s="14" customFormat="1" x14ac:dyDescent="0.2">
      <c r="A43" s="15" t="s">
        <v>53</v>
      </c>
      <c r="B43" s="18"/>
      <c r="C43" s="13"/>
      <c r="D43" s="13"/>
      <c r="E43" s="13">
        <f>SUM(E38:E42)</f>
        <v>411.81199999999995</v>
      </c>
      <c r="F43" s="13">
        <f>SUM(F38:F42)</f>
        <v>407.93100000000004</v>
      </c>
      <c r="G43" s="13">
        <f>SUM(G38:G42)</f>
        <v>432.56600000000009</v>
      </c>
      <c r="H43" s="13">
        <f>SUM(H38:H42)</f>
        <v>428.94399999999996</v>
      </c>
      <c r="I43" s="13">
        <f>SUM(I38:I42)</f>
        <v>444.44400000000002</v>
      </c>
      <c r="J43" s="13">
        <f>SUM(J38:J42)</f>
        <v>457.58</v>
      </c>
      <c r="K43" s="13"/>
      <c r="L43" s="13"/>
      <c r="M43" s="13"/>
    </row>
    <row r="44" spans="1:13" x14ac:dyDescent="0.2">
      <c r="A44" s="4" t="s">
        <v>54</v>
      </c>
      <c r="E44" s="7">
        <f>+E37-E43</f>
        <v>289.12900000000008</v>
      </c>
      <c r="F44" s="7">
        <f>+F37-F43</f>
        <v>267.82199999999978</v>
      </c>
      <c r="G44" s="7">
        <f>+G37-G43</f>
        <v>277.01799999999997</v>
      </c>
      <c r="H44" s="7">
        <f>+H37-H43</f>
        <v>276.23200000000008</v>
      </c>
      <c r="I44" s="7">
        <f>+I37-I43</f>
        <v>368.17399999999992</v>
      </c>
      <c r="J44" s="7">
        <v>404.202</v>
      </c>
    </row>
    <row r="45" spans="1:13" x14ac:dyDescent="0.2">
      <c r="A45" s="4" t="s">
        <v>55</v>
      </c>
      <c r="E45" s="7">
        <f>+E44+E43</f>
        <v>700.94100000000003</v>
      </c>
      <c r="F45" s="7">
        <f>+F44+F43</f>
        <v>675.75299999999982</v>
      </c>
      <c r="G45" s="7">
        <f>+G44+G43</f>
        <v>709.58400000000006</v>
      </c>
      <c r="H45" s="7">
        <f>+H44+H43</f>
        <v>705.17600000000004</v>
      </c>
      <c r="I45" s="7">
        <f>+I44+I43</f>
        <v>812.61799999999994</v>
      </c>
      <c r="J45" s="7">
        <f>+J44+J43</f>
        <v>861.78199999999993</v>
      </c>
    </row>
    <row r="46" spans="1:13" x14ac:dyDescent="0.2">
      <c r="A46" s="4"/>
    </row>
    <row r="47" spans="1:13" x14ac:dyDescent="0.2">
      <c r="A47" s="4" t="s">
        <v>87</v>
      </c>
      <c r="E47" s="7">
        <f t="shared" ref="E47:I47" si="30">+SUM(B16:E16)</f>
        <v>107.99199999999999</v>
      </c>
      <c r="F47" s="7">
        <f t="shared" si="30"/>
        <v>111.68699999999998</v>
      </c>
      <c r="G47" s="7">
        <f t="shared" si="30"/>
        <v>120.47299999999996</v>
      </c>
      <c r="H47" s="7">
        <f t="shared" si="30"/>
        <v>139.32799999999997</v>
      </c>
      <c r="I47" s="7">
        <f t="shared" si="30"/>
        <v>151.59499999999997</v>
      </c>
      <c r="J47" s="7">
        <f>+SUM(G16:J16)</f>
        <v>161.661</v>
      </c>
    </row>
    <row r="48" spans="1:13" s="11" customFormat="1" x14ac:dyDescent="0.2">
      <c r="A48" s="4" t="s">
        <v>76</v>
      </c>
      <c r="E48" s="11">
        <f t="shared" ref="E48:I48" si="31">+E47/(E30+E31+E32+E33+E34+E36)</f>
        <v>0.36304713238754782</v>
      </c>
      <c r="F48" s="11">
        <f t="shared" si="31"/>
        <v>0.40582464299989096</v>
      </c>
      <c r="G48" s="11">
        <f t="shared" si="31"/>
        <v>0.40145756758828199</v>
      </c>
      <c r="H48" s="11">
        <f t="shared" si="31"/>
        <v>0.62344449863746798</v>
      </c>
      <c r="I48" s="11">
        <f t="shared" si="31"/>
        <v>0.48814376887755423</v>
      </c>
      <c r="J48" s="11">
        <f>+J47/(J30+J31+J32+J33+J34+J36)</f>
        <v>0.5373850260446964</v>
      </c>
    </row>
    <row r="50" spans="1:13" x14ac:dyDescent="0.2">
      <c r="A50" s="4" t="s">
        <v>56</v>
      </c>
      <c r="B50" s="7">
        <f>+B16</f>
        <v>25.410000000000011</v>
      </c>
      <c r="C50" s="7">
        <f>+C16</f>
        <v>26.596000000000007</v>
      </c>
      <c r="D50" s="7">
        <f>+D16</f>
        <v>27.659999999999986</v>
      </c>
      <c r="E50" s="7">
        <f>+E16</f>
        <v>28.325999999999993</v>
      </c>
      <c r="F50" s="7">
        <f>+F16</f>
        <v>29.104999999999983</v>
      </c>
      <c r="G50" s="7">
        <f>+G16</f>
        <v>35.381999999999998</v>
      </c>
      <c r="H50" s="7">
        <f>+H16</f>
        <v>46.515000000000008</v>
      </c>
      <c r="I50" s="7">
        <f>+I16</f>
        <v>40.592999999999989</v>
      </c>
      <c r="J50" s="7">
        <f>+J16</f>
        <v>39.170999999999999</v>
      </c>
    </row>
    <row r="51" spans="1:13" x14ac:dyDescent="0.2">
      <c r="A51" s="4" t="s">
        <v>57</v>
      </c>
      <c r="B51" s="7">
        <v>25.41</v>
      </c>
      <c r="C51" s="7">
        <f>52.006-B51</f>
        <v>26.596</v>
      </c>
      <c r="D51" s="7">
        <f>79.666-SUM(B51:C51)</f>
        <v>27.659999999999997</v>
      </c>
      <c r="E51" s="7">
        <f>107.992-SUM(B51:D51)</f>
        <v>28.326000000000008</v>
      </c>
      <c r="F51" s="7">
        <v>29.105</v>
      </c>
      <c r="G51" s="7">
        <f>64.487-F51</f>
        <v>35.381999999999991</v>
      </c>
      <c r="H51" s="7">
        <f>111.002-SUM(F51:G51)</f>
        <v>46.515000000000001</v>
      </c>
      <c r="I51" s="7">
        <f>151.595-SUM(F51:H51)</f>
        <v>40.593000000000004</v>
      </c>
      <c r="J51" s="7">
        <v>39.731000000000002</v>
      </c>
    </row>
    <row r="52" spans="1:13" x14ac:dyDescent="0.2">
      <c r="A52" s="4" t="s">
        <v>58</v>
      </c>
      <c r="B52" s="7">
        <v>8.9819999999999993</v>
      </c>
      <c r="C52" s="7">
        <f>17.552-B52</f>
        <v>8.57</v>
      </c>
      <c r="D52" s="7">
        <f>25.773-SUM(B52:C52)</f>
        <v>8.2210000000000001</v>
      </c>
      <c r="E52" s="7">
        <f>34.622-SUM(B52:D52)</f>
        <v>8.8490000000000002</v>
      </c>
      <c r="F52" s="7">
        <v>7.444</v>
      </c>
      <c r="G52" s="7">
        <f>14.446-F52</f>
        <v>7.0019999999999998</v>
      </c>
      <c r="H52" s="7">
        <f>21.14-SUM(F52:G52)</f>
        <v>6.6940000000000008</v>
      </c>
      <c r="I52" s="7">
        <f>26.991-SUM(F52:H52)</f>
        <v>5.8509999999999991</v>
      </c>
      <c r="J52" s="7">
        <v>5.2389999999999999</v>
      </c>
    </row>
    <row r="53" spans="1:13" x14ac:dyDescent="0.2">
      <c r="A53" s="4" t="s">
        <v>59</v>
      </c>
      <c r="B53" s="7">
        <v>0.14099999999999999</v>
      </c>
      <c r="C53" s="7">
        <f>0.297-B53</f>
        <v>0.156</v>
      </c>
      <c r="D53" s="7">
        <f>0.493-SUM(B53:C53)</f>
        <v>0.19600000000000001</v>
      </c>
      <c r="E53" s="7">
        <f>0.59-SUM(B53:D53)</f>
        <v>9.6999999999999975E-2</v>
      </c>
      <c r="F53" s="7">
        <v>0.11899999999999999</v>
      </c>
      <c r="G53" s="7">
        <f>0.16-F53</f>
        <v>4.1000000000000009E-2</v>
      </c>
      <c r="H53" s="7">
        <f>0.23-SUM(F53:G53)</f>
        <v>7.0000000000000007E-2</v>
      </c>
      <c r="I53" s="7">
        <f>0.547-SUM(F53:H53)</f>
        <v>0.31700000000000006</v>
      </c>
      <c r="J53" s="7">
        <v>0.193</v>
      </c>
    </row>
    <row r="54" spans="1:13" x14ac:dyDescent="0.2">
      <c r="A54" s="4" t="s">
        <v>60</v>
      </c>
      <c r="B54" s="7">
        <v>5.0000000000000001E-3</v>
      </c>
      <c r="C54" s="7">
        <v>5.0000000000000001E-3</v>
      </c>
      <c r="D54" s="7">
        <v>5.0000000000000001E-3</v>
      </c>
      <c r="E54" s="7">
        <f>0.006-SUM(B54:D54)</f>
        <v>-8.9999999999999993E-3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3" x14ac:dyDescent="0.2">
      <c r="A55" s="4" t="s">
        <v>75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0.53300000000000003</v>
      </c>
      <c r="H55" s="7">
        <f>0.533-SUM(F55:G55)</f>
        <v>0</v>
      </c>
      <c r="I55" s="7">
        <f>0.533-SUM(F55:H55)</f>
        <v>0</v>
      </c>
      <c r="J55" s="7">
        <v>0</v>
      </c>
    </row>
    <row r="56" spans="1:13" x14ac:dyDescent="0.2">
      <c r="A56" s="4" t="s">
        <v>61</v>
      </c>
      <c r="B56" s="7">
        <v>11.744999999999999</v>
      </c>
      <c r="C56" s="7">
        <f>24.565-B56</f>
        <v>12.820000000000002</v>
      </c>
      <c r="D56" s="7">
        <f>37.856-SUM(B56:C56)</f>
        <v>13.291</v>
      </c>
      <c r="E56" s="7">
        <f>53.408-SUM(B56:D56)</f>
        <v>15.552</v>
      </c>
      <c r="F56" s="7">
        <v>16.033000000000001</v>
      </c>
      <c r="G56" s="7">
        <f>32.038-F56</f>
        <v>16.004999999999995</v>
      </c>
      <c r="H56" s="7">
        <f>50.56-SUM(F56:G56)</f>
        <v>18.522000000000006</v>
      </c>
      <c r="I56" s="7">
        <f>69.079-SUM(F56:H56)</f>
        <v>18.518999999999991</v>
      </c>
      <c r="J56" s="7">
        <v>19.030999999999999</v>
      </c>
    </row>
    <row r="57" spans="1:13" x14ac:dyDescent="0.2">
      <c r="A57" s="4" t="s">
        <v>62</v>
      </c>
      <c r="B57" s="7">
        <v>0.76200000000000001</v>
      </c>
      <c r="C57" s="7">
        <f>+-1.158-B57</f>
        <v>-1.92</v>
      </c>
      <c r="D57" s="7">
        <f>1.127-SUM(B57:C57)</f>
        <v>2.2850000000000001</v>
      </c>
      <c r="E57" s="7">
        <f>0.833-SUM(B57:D57)</f>
        <v>-0.29400000000000026</v>
      </c>
      <c r="F57" s="7">
        <v>-0.25900000000000001</v>
      </c>
      <c r="G57" s="7">
        <f>-1.412-F57</f>
        <v>-1.153</v>
      </c>
      <c r="H57" s="7">
        <f>+-3.502-SUM(F57:G57)</f>
        <v>-2.09</v>
      </c>
      <c r="I57" s="7">
        <f>+-5.712-SUM(F57:H57)</f>
        <v>-2.21</v>
      </c>
      <c r="J57" s="7">
        <v>-1.915</v>
      </c>
    </row>
    <row r="58" spans="1:13" x14ac:dyDescent="0.2">
      <c r="A58" s="4" t="s">
        <v>45</v>
      </c>
      <c r="B58" s="7">
        <v>-5.0949999999999998</v>
      </c>
      <c r="C58" s="7">
        <f>+-10.861-B58</f>
        <v>-5.7660000000000009</v>
      </c>
      <c r="D58" s="7">
        <f>+-15.599-SUM(B58:C58)</f>
        <v>-4.7379999999999995</v>
      </c>
      <c r="E58" s="7">
        <f>+-20.251-SUM(B58:D58)</f>
        <v>-4.652000000000001</v>
      </c>
      <c r="F58" s="7">
        <v>-4.2409999999999997</v>
      </c>
      <c r="G58" s="7">
        <f>+-9.122-F58</f>
        <v>-4.8810000000000002</v>
      </c>
      <c r="H58" s="7">
        <f>+-11.561-SUM(F58:G58)</f>
        <v>-2.4390000000000001</v>
      </c>
      <c r="I58" s="7">
        <f>-16.636-SUM(F58:H58)</f>
        <v>-5.0749999999999993</v>
      </c>
      <c r="J58" s="7">
        <v>-4.1109999999999998</v>
      </c>
    </row>
    <row r="59" spans="1:13" x14ac:dyDescent="0.2">
      <c r="A59" s="4" t="s">
        <v>63</v>
      </c>
      <c r="B59" s="7">
        <f>19.563+6.067+0.599+3.435+7.426</f>
        <v>37.089999999999996</v>
      </c>
      <c r="C59" s="7">
        <f>11.009-1.085+0.917+3.83+13.458</f>
        <v>28.128999999999998</v>
      </c>
      <c r="D59" s="7">
        <f>9.788-1.412+0.841+3.968+12.504-SUM(B59:C59)</f>
        <v>-39.529999999999994</v>
      </c>
      <c r="E59" s="7">
        <f>+-13.387+3.878+2.107+3.867+25.189-SUM(B59:D59)</f>
        <v>-4.0350000000000001</v>
      </c>
      <c r="F59" s="7">
        <f>19.89-1.289-1.215-0.002+1.228</f>
        <v>18.612000000000002</v>
      </c>
      <c r="G59" s="7">
        <f>-3.277-7.45-0.813+8.736+20.002-F59</f>
        <v>-1.4140000000000015</v>
      </c>
      <c r="H59" s="7">
        <f>18.137-4.804-1.428+8.211+22.248-SUM(F59:G59)</f>
        <v>25.166000000000004</v>
      </c>
      <c r="I59" s="7">
        <f>+-24.978-3.407-1.578+0.451+47.72-SUM(F59:H59)</f>
        <v>-24.156000000000006</v>
      </c>
      <c r="J59" s="7">
        <f>30.404-10.126-0.335+8.892-1.498</f>
        <v>27.336999999999996</v>
      </c>
    </row>
    <row r="60" spans="1:13" s="14" customFormat="1" x14ac:dyDescent="0.2">
      <c r="A60" s="15" t="s">
        <v>64</v>
      </c>
      <c r="B60" s="13">
        <f t="shared" ref="B60:J60" si="32">SUM(B51:B59)</f>
        <v>79.039999999999992</v>
      </c>
      <c r="C60" s="13">
        <f t="shared" si="32"/>
        <v>68.59</v>
      </c>
      <c r="D60" s="13">
        <f t="shared" si="32"/>
        <v>7.3900000000000077</v>
      </c>
      <c r="E60" s="13">
        <f t="shared" si="32"/>
        <v>43.834000000000017</v>
      </c>
      <c r="F60" s="13">
        <f t="shared" si="32"/>
        <v>66.813000000000002</v>
      </c>
      <c r="G60" s="13">
        <f t="shared" si="32"/>
        <v>51.514999999999986</v>
      </c>
      <c r="H60" s="13">
        <f t="shared" si="32"/>
        <v>92.438000000000017</v>
      </c>
      <c r="I60" s="13">
        <f t="shared" si="32"/>
        <v>33.838999999999999</v>
      </c>
      <c r="J60" s="13">
        <f t="shared" si="32"/>
        <v>85.504999999999995</v>
      </c>
      <c r="K60" s="13"/>
      <c r="L60" s="13"/>
      <c r="M60" s="13"/>
    </row>
    <row r="62" spans="1:13" x14ac:dyDescent="0.2">
      <c r="A62" s="4" t="s">
        <v>65</v>
      </c>
      <c r="B62" s="7">
        <v>-81.8</v>
      </c>
      <c r="C62" s="7">
        <f>+-177.171-B62</f>
        <v>-95.370999999999995</v>
      </c>
      <c r="D62" s="7">
        <f>+-178.788-SUM(B62:C62)</f>
        <v>-1.6170000000000186</v>
      </c>
      <c r="E62" s="7">
        <f>+-178.788-SUM(B62:D62)</f>
        <v>0</v>
      </c>
      <c r="F62" s="7">
        <v>-46.01</v>
      </c>
      <c r="G62" s="7">
        <f>+-159.392-F62</f>
        <v>-113.38200000000001</v>
      </c>
      <c r="H62" s="7">
        <f>+-252.438-SUM(F62:G62)</f>
        <v>-93.045999999999992</v>
      </c>
      <c r="I62" s="7">
        <f>+-306.812-SUM(F62:H62)</f>
        <v>-54.374000000000024</v>
      </c>
      <c r="J62" s="7">
        <v>-61.34</v>
      </c>
    </row>
    <row r="63" spans="1:13" x14ac:dyDescent="0.2">
      <c r="A63" s="4" t="s">
        <v>66</v>
      </c>
      <c r="B63" s="7">
        <v>84.915000000000006</v>
      </c>
      <c r="C63" s="7">
        <f>173.922-B63</f>
        <v>89.006999999999991</v>
      </c>
      <c r="D63" s="7">
        <f>290.949-SUM(B63:C63)</f>
        <v>117.02700000000002</v>
      </c>
      <c r="E63" s="7">
        <f>347.837-SUM(B63:D63)</f>
        <v>56.887999999999977</v>
      </c>
      <c r="F63" s="7">
        <v>69.709000000000003</v>
      </c>
      <c r="G63" s="7">
        <f>167.12-F63</f>
        <v>97.411000000000001</v>
      </c>
      <c r="H63" s="7">
        <f>212.202-SUM(F63:G63)</f>
        <v>45.081999999999994</v>
      </c>
      <c r="I63" s="7">
        <f>242.432-SUM(F63:H63)</f>
        <v>30.22999999999999</v>
      </c>
      <c r="J63" s="7">
        <v>71.462999999999994</v>
      </c>
    </row>
    <row r="64" spans="1:13" x14ac:dyDescent="0.2">
      <c r="A64" s="4" t="s">
        <v>67</v>
      </c>
      <c r="B64" s="7">
        <v>-7.6390000000000002</v>
      </c>
      <c r="C64" s="7">
        <f>+-11.15-B64</f>
        <v>-3.5110000000000001</v>
      </c>
      <c r="D64" s="7">
        <f>+-12.391-SUM(B64:C64)</f>
        <v>-1.2409999999999997</v>
      </c>
      <c r="E64" s="7">
        <f>+-15.361-SUM(B64:D64)</f>
        <v>-2.9700000000000006</v>
      </c>
      <c r="F64" s="7">
        <v>-4.0369999999999999</v>
      </c>
      <c r="G64" s="7">
        <f>+-5.455-F64</f>
        <v>-1.4180000000000001</v>
      </c>
      <c r="H64" s="7">
        <f>+-7.263-SUM(F64:G64)</f>
        <v>-1.8079999999999998</v>
      </c>
      <c r="I64" s="7">
        <f>+-8.786-SUM(F64:H64)</f>
        <v>-1.5229999999999997</v>
      </c>
      <c r="J64" s="7">
        <v>-2.0510000000000002</v>
      </c>
    </row>
    <row r="65" spans="1:13" s="23" customFormat="1" x14ac:dyDescent="0.2">
      <c r="A65" s="21" t="s">
        <v>68</v>
      </c>
      <c r="B65" s="22">
        <f t="shared" ref="B65:J65" si="33">SUM(B62:B64)</f>
        <v>-4.5239999999999911</v>
      </c>
      <c r="C65" s="22">
        <f t="shared" si="33"/>
        <v>-9.8750000000000036</v>
      </c>
      <c r="D65" s="22">
        <f t="shared" si="33"/>
        <v>114.169</v>
      </c>
      <c r="E65" s="22">
        <f t="shared" si="33"/>
        <v>53.917999999999978</v>
      </c>
      <c r="F65" s="22">
        <f t="shared" si="33"/>
        <v>19.662000000000006</v>
      </c>
      <c r="G65" s="22">
        <f t="shared" si="33"/>
        <v>-17.389000000000003</v>
      </c>
      <c r="H65" s="22">
        <f t="shared" si="33"/>
        <v>-49.771999999999998</v>
      </c>
      <c r="I65" s="22">
        <f t="shared" si="33"/>
        <v>-25.667000000000034</v>
      </c>
      <c r="J65" s="22">
        <f t="shared" si="33"/>
        <v>8.0719999999999903</v>
      </c>
      <c r="K65" s="22"/>
      <c r="L65" s="22"/>
      <c r="M65" s="22"/>
    </row>
    <row r="67" spans="1:13" x14ac:dyDescent="0.2">
      <c r="A67" s="4" t="s">
        <v>69</v>
      </c>
      <c r="B67" s="7">
        <v>-46.581000000000003</v>
      </c>
      <c r="C67" s="7">
        <f>+-117.813-B67</f>
        <v>-71.231999999999999</v>
      </c>
      <c r="D67" s="7">
        <f>+-212.839-SUM(B67:C67)</f>
        <v>-95.025999999999996</v>
      </c>
      <c r="E67" s="7">
        <f>+-317.344-SUM(B67:D67)</f>
        <v>-104.505</v>
      </c>
      <c r="F67" s="7">
        <v>-66.551000000000002</v>
      </c>
      <c r="G67" s="7">
        <f>+-108.8917-F67</f>
        <v>-42.340699999999998</v>
      </c>
      <c r="H67" s="7">
        <f>+-147.725-SUM(F67:G67)</f>
        <v>-38.833299999999994</v>
      </c>
      <c r="I67" s="7">
        <f>+-170.8-SUM(F67:H67)</f>
        <v>-23.075000000000017</v>
      </c>
      <c r="J67" s="7">
        <v>-18.029</v>
      </c>
    </row>
    <row r="68" spans="1:13" x14ac:dyDescent="0.2">
      <c r="A68" s="4" t="s">
        <v>70</v>
      </c>
      <c r="B68" s="7">
        <v>2.569</v>
      </c>
      <c r="C68" s="7">
        <f>9.073-B68</f>
        <v>6.5040000000000004</v>
      </c>
      <c r="D68" s="7">
        <f>23.161-SUM(B68:C68)</f>
        <v>14.088000000000001</v>
      </c>
      <c r="E68" s="7">
        <f>24.483-SUM(B68:D68)</f>
        <v>1.3219999999999992</v>
      </c>
      <c r="F68" s="7">
        <v>2.3279999999999998</v>
      </c>
      <c r="G68" s="7">
        <f>7.148-F68</f>
        <v>4.82</v>
      </c>
      <c r="H68" s="7">
        <f>28.384-SUM(F68:G68)</f>
        <v>21.236000000000001</v>
      </c>
      <c r="I68" s="7">
        <f>45.576-SUM(F68:H68)</f>
        <v>17.192</v>
      </c>
      <c r="J68" s="7">
        <v>2.77</v>
      </c>
    </row>
    <row r="69" spans="1:13" x14ac:dyDescent="0.2">
      <c r="A69" s="4" t="s">
        <v>32</v>
      </c>
      <c r="B69" s="7">
        <v>-3.6309999999999998</v>
      </c>
      <c r="C69" s="7">
        <f>+-8.161-B69</f>
        <v>-4.5299999999999994</v>
      </c>
      <c r="D69" s="7">
        <f>+-12.853-SUM(B69:C69)</f>
        <v>-4.6920000000000002</v>
      </c>
      <c r="E69" s="7">
        <f>+-17.615-SUM(B69:D69)</f>
        <v>-4.7619999999999987</v>
      </c>
      <c r="F69" s="7">
        <v>-5.1050000000000004</v>
      </c>
      <c r="G69" s="7">
        <f>+-9.494-F69</f>
        <v>-4.3889999999999993</v>
      </c>
      <c r="H69" s="7">
        <f>+-14.998-SUM(F69:G69)</f>
        <v>-5.5039999999999996</v>
      </c>
      <c r="I69" s="7">
        <f>+-22.346-SUM(F69:H69)</f>
        <v>-7.3480000000000008</v>
      </c>
      <c r="J69" s="7">
        <v>-11.808</v>
      </c>
    </row>
    <row r="70" spans="1:13" x14ac:dyDescent="0.2">
      <c r="A70" s="4" t="s">
        <v>84</v>
      </c>
      <c r="B70" s="7">
        <v>2.0859999999999999</v>
      </c>
      <c r="C70" s="7">
        <f>2.086-B70</f>
        <v>0</v>
      </c>
      <c r="D70" s="7">
        <f>4.445-SUM(B70:C70)</f>
        <v>2.3590000000000004</v>
      </c>
      <c r="E70" s="7">
        <f>4.445-SUM(B70:D70)</f>
        <v>0</v>
      </c>
      <c r="F70" s="7">
        <v>2.988</v>
      </c>
      <c r="G70" s="7">
        <f>2.988-F70</f>
        <v>0</v>
      </c>
      <c r="H70" s="7">
        <f>6.077-SUM(F70:G70)</f>
        <v>3.089</v>
      </c>
      <c r="I70" s="7">
        <f>6.077-SUM(F70:H70)</f>
        <v>0</v>
      </c>
      <c r="J70" s="7">
        <v>3.6080000000000001</v>
      </c>
    </row>
    <row r="71" spans="1:13" s="23" customFormat="1" x14ac:dyDescent="0.2">
      <c r="A71" s="21" t="s">
        <v>71</v>
      </c>
      <c r="B71" s="22">
        <f t="shared" ref="B71:J71" si="34">SUM(B67:B70)</f>
        <v>-45.557000000000002</v>
      </c>
      <c r="C71" s="22">
        <f t="shared" si="34"/>
        <v>-69.257999999999996</v>
      </c>
      <c r="D71" s="22">
        <f t="shared" si="34"/>
        <v>-83.271000000000001</v>
      </c>
      <c r="E71" s="22">
        <f t="shared" si="34"/>
        <v>-107.94499999999999</v>
      </c>
      <c r="F71" s="22">
        <f t="shared" si="34"/>
        <v>-66.34</v>
      </c>
      <c r="G71" s="22">
        <f t="shared" si="34"/>
        <v>-41.909700000000001</v>
      </c>
      <c r="H71" s="22">
        <f t="shared" si="34"/>
        <v>-20.012299999999996</v>
      </c>
      <c r="I71" s="22">
        <f t="shared" si="34"/>
        <v>-13.231000000000018</v>
      </c>
      <c r="J71" s="22">
        <f t="shared" si="34"/>
        <v>-23.459</v>
      </c>
      <c r="K71" s="22"/>
      <c r="L71" s="22"/>
      <c r="M71" s="22"/>
    </row>
    <row r="72" spans="1:13" x14ac:dyDescent="0.2">
      <c r="A72" s="4" t="s">
        <v>72</v>
      </c>
      <c r="B72" s="7">
        <f t="shared" ref="B72:J72" si="35">+B71+B60+B65</f>
        <v>28.959</v>
      </c>
      <c r="C72" s="7">
        <f t="shared" si="35"/>
        <v>-10.542999999999996</v>
      </c>
      <c r="D72" s="7">
        <f t="shared" si="35"/>
        <v>38.287999999999997</v>
      </c>
      <c r="E72" s="7">
        <f t="shared" si="35"/>
        <v>-10.192999999999998</v>
      </c>
      <c r="F72" s="7">
        <f t="shared" si="35"/>
        <v>20.135000000000005</v>
      </c>
      <c r="G72" s="7">
        <f t="shared" si="35"/>
        <v>-7.7837000000000174</v>
      </c>
      <c r="H72" s="7">
        <f t="shared" si="35"/>
        <v>22.653700000000022</v>
      </c>
      <c r="I72" s="7">
        <f t="shared" si="35"/>
        <v>-5.0590000000000508</v>
      </c>
      <c r="J72" s="7">
        <f t="shared" si="35"/>
        <v>70.117999999999981</v>
      </c>
    </row>
    <row r="74" spans="1:13" x14ac:dyDescent="0.2">
      <c r="A74" s="4" t="s">
        <v>73</v>
      </c>
      <c r="B74" s="7">
        <f t="shared" ref="B74:I74" si="36">+B60+B64</f>
        <v>71.400999999999996</v>
      </c>
      <c r="C74" s="7">
        <f t="shared" si="36"/>
        <v>65.079000000000008</v>
      </c>
      <c r="D74" s="7">
        <f t="shared" si="36"/>
        <v>6.149000000000008</v>
      </c>
      <c r="E74" s="7">
        <f t="shared" si="36"/>
        <v>40.864000000000019</v>
      </c>
      <c r="F74" s="7">
        <f t="shared" si="36"/>
        <v>62.776000000000003</v>
      </c>
      <c r="G74" s="7">
        <f t="shared" si="36"/>
        <v>50.096999999999987</v>
      </c>
      <c r="H74" s="7">
        <f t="shared" si="36"/>
        <v>90.630000000000024</v>
      </c>
      <c r="I74" s="7">
        <f t="shared" si="36"/>
        <v>32.316000000000003</v>
      </c>
      <c r="J74" s="7">
        <f t="shared" ref="J74" si="37">+J60+J64</f>
        <v>83.453999999999994</v>
      </c>
    </row>
    <row r="75" spans="1:13" x14ac:dyDescent="0.2">
      <c r="A75" s="4" t="s">
        <v>74</v>
      </c>
      <c r="B75" s="7">
        <f t="shared" ref="B75:I75" si="38">+B60+B64-B56</f>
        <v>59.655999999999999</v>
      </c>
      <c r="C75" s="7">
        <f t="shared" si="38"/>
        <v>52.259000000000007</v>
      </c>
      <c r="D75" s="7">
        <f t="shared" si="38"/>
        <v>-7.1419999999999924</v>
      </c>
      <c r="E75" s="7">
        <f t="shared" si="38"/>
        <v>25.312000000000019</v>
      </c>
      <c r="F75" s="7">
        <f t="shared" si="38"/>
        <v>46.743000000000002</v>
      </c>
      <c r="G75" s="7">
        <f t="shared" si="38"/>
        <v>34.091999999999992</v>
      </c>
      <c r="H75" s="7">
        <f t="shared" si="38"/>
        <v>72.108000000000018</v>
      </c>
      <c r="I75" s="7">
        <f t="shared" si="38"/>
        <v>13.797000000000011</v>
      </c>
      <c r="J75" s="7">
        <f t="shared" ref="J75" si="39">+J60+J64-J56</f>
        <v>64.423000000000002</v>
      </c>
    </row>
    <row r="77" spans="1:13" x14ac:dyDescent="0.2">
      <c r="A77" s="4" t="s">
        <v>83</v>
      </c>
      <c r="E77" s="7">
        <f t="shared" ref="E77:I77" si="40">+SUM(B75:E75)</f>
        <v>130.08500000000004</v>
      </c>
      <c r="F77" s="7">
        <f t="shared" si="40"/>
        <v>117.17200000000003</v>
      </c>
      <c r="G77" s="7">
        <f t="shared" si="40"/>
        <v>99.005000000000024</v>
      </c>
      <c r="H77" s="7">
        <f t="shared" si="40"/>
        <v>178.25500000000005</v>
      </c>
      <c r="I77" s="7">
        <f t="shared" si="40"/>
        <v>166.74</v>
      </c>
      <c r="J77" s="7">
        <f>+SUM(G75:J75)</f>
        <v>184.42000000000002</v>
      </c>
    </row>
  </sheetData>
  <pageMargins left="0.7" right="0.7" top="0.75" bottom="0.75" header="0.3" footer="0.3"/>
  <ignoredErrors>
    <ignoredError sqref="H5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2024-03-24T12:22:53Z</dcterms:created>
  <dcterms:modified xsi:type="dcterms:W3CDTF">2024-07-11T19:46:45Z</dcterms:modified>
</cp:coreProperties>
</file>