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Roblox\"/>
    </mc:Choice>
  </mc:AlternateContent>
  <xr:revisionPtr revIDLastSave="0" documentId="13_ncr:1_{3E097353-BA28-43AE-8258-107194E30969}" xr6:coauthVersionLast="47" xr6:coauthVersionMax="47" xr10:uidLastSave="{00000000-0000-0000-0000-000000000000}"/>
  <bookViews>
    <workbookView xWindow="28680" yWindow="-120" windowWidth="29040" windowHeight="15840" activeTab="1" xr2:uid="{642A7FC9-0022-4EFE-AAA0-300A0F8FDEDE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1" l="1"/>
  <c r="U61" i="1"/>
  <c r="U48" i="1"/>
  <c r="U41" i="1"/>
  <c r="G29" i="1"/>
  <c r="H29" i="1"/>
  <c r="I29" i="1"/>
  <c r="G26" i="1"/>
  <c r="H26" i="1"/>
  <c r="I26" i="1"/>
  <c r="G25" i="1"/>
  <c r="H25" i="1"/>
  <c r="I25" i="1"/>
  <c r="G28" i="1"/>
  <c r="H28" i="1"/>
  <c r="I28" i="1"/>
  <c r="I27" i="1"/>
  <c r="H27" i="1"/>
  <c r="G27" i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F19" i="1"/>
  <c r="T19" i="1" s="1"/>
  <c r="F17" i="1"/>
  <c r="T17" i="1" s="1"/>
  <c r="F12" i="1"/>
  <c r="T12" i="1" s="1"/>
  <c r="F11" i="1"/>
  <c r="T11" i="1" s="1"/>
  <c r="F10" i="1"/>
  <c r="T10" i="1" s="1"/>
  <c r="F9" i="1"/>
  <c r="T9" i="1" s="1"/>
  <c r="F8" i="1"/>
  <c r="T8" i="1" s="1"/>
  <c r="F6" i="1"/>
  <c r="T6" i="1" s="1"/>
  <c r="F5" i="1"/>
  <c r="T5" i="1" s="1"/>
  <c r="J19" i="1"/>
  <c r="U19" i="1" s="1"/>
  <c r="J17" i="1"/>
  <c r="U17" i="1" s="1"/>
  <c r="J12" i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J11" i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J10" i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J9" i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J8" i="1"/>
  <c r="U8" i="1" s="1"/>
  <c r="J6" i="1"/>
  <c r="U6" i="1" s="1"/>
  <c r="J5" i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G24" i="1"/>
  <c r="C15" i="1"/>
  <c r="C13" i="1"/>
  <c r="C7" i="1"/>
  <c r="G15" i="1"/>
  <c r="G13" i="1"/>
  <c r="G7" i="1"/>
  <c r="G32" i="1" s="1"/>
  <c r="H24" i="1"/>
  <c r="D15" i="1"/>
  <c r="D13" i="1"/>
  <c r="D7" i="1"/>
  <c r="D32" i="1" s="1"/>
  <c r="H15" i="1"/>
  <c r="H13" i="1"/>
  <c r="H7" i="1"/>
  <c r="H32" i="1" s="1"/>
  <c r="I24" i="1"/>
  <c r="E15" i="1"/>
  <c r="E13" i="1"/>
  <c r="E7" i="1"/>
  <c r="E32" i="1" s="1"/>
  <c r="I15" i="1"/>
  <c r="I13" i="1"/>
  <c r="I7" i="1"/>
  <c r="I32" i="1" s="1"/>
  <c r="C7" i="2"/>
  <c r="C6" i="2"/>
  <c r="C9" i="2" s="1"/>
  <c r="U50" i="1" l="1"/>
  <c r="U25" i="1"/>
  <c r="U26" i="1"/>
  <c r="U29" i="1"/>
  <c r="V8" i="1"/>
  <c r="W8" i="1" s="1"/>
  <c r="J29" i="1"/>
  <c r="V7" i="1"/>
  <c r="J25" i="1"/>
  <c r="J26" i="1"/>
  <c r="U27" i="1"/>
  <c r="U28" i="1"/>
  <c r="J27" i="1"/>
  <c r="J28" i="1"/>
  <c r="U24" i="1"/>
  <c r="J15" i="1"/>
  <c r="U15" i="1" s="1"/>
  <c r="F15" i="1"/>
  <c r="T15" i="1" s="1"/>
  <c r="C32" i="1"/>
  <c r="F13" i="1"/>
  <c r="T13" i="1" s="1"/>
  <c r="F7" i="1"/>
  <c r="F32" i="1" s="1"/>
  <c r="J13" i="1"/>
  <c r="U13" i="1" s="1"/>
  <c r="C14" i="1"/>
  <c r="C33" i="1" s="1"/>
  <c r="G14" i="1"/>
  <c r="G33" i="1" s="1"/>
  <c r="D14" i="1"/>
  <c r="I14" i="1"/>
  <c r="H14" i="1"/>
  <c r="E14" i="1"/>
  <c r="I16" i="1" l="1"/>
  <c r="I35" i="1" s="1"/>
  <c r="I33" i="1"/>
  <c r="D16" i="1"/>
  <c r="D18" i="1" s="1"/>
  <c r="D33" i="1"/>
  <c r="E16" i="1"/>
  <c r="E35" i="1" s="1"/>
  <c r="E33" i="1"/>
  <c r="H16" i="1"/>
  <c r="H35" i="1" s="1"/>
  <c r="H33" i="1"/>
  <c r="X8" i="1"/>
  <c r="W13" i="1"/>
  <c r="V13" i="1"/>
  <c r="V14" i="1" s="1"/>
  <c r="H18" i="1"/>
  <c r="H34" i="1" s="1"/>
  <c r="I18" i="1"/>
  <c r="I34" i="1" s="1"/>
  <c r="T7" i="1"/>
  <c r="W7" i="1"/>
  <c r="G16" i="1"/>
  <c r="C16" i="1"/>
  <c r="C35" i="1" s="1"/>
  <c r="F14" i="1"/>
  <c r="E18" i="1"/>
  <c r="J7" i="1"/>
  <c r="J24" i="1"/>
  <c r="D35" i="1" l="1"/>
  <c r="D20" i="1"/>
  <c r="D21" i="1" s="1"/>
  <c r="D34" i="1"/>
  <c r="E20" i="1"/>
  <c r="E21" i="1" s="1"/>
  <c r="E34" i="1"/>
  <c r="F16" i="1"/>
  <c r="F35" i="1" s="1"/>
  <c r="F33" i="1"/>
  <c r="G35" i="1"/>
  <c r="W14" i="1"/>
  <c r="X13" i="1"/>
  <c r="Y8" i="1"/>
  <c r="F18" i="1"/>
  <c r="I20" i="1"/>
  <c r="I21" i="1" s="1"/>
  <c r="I30" i="1"/>
  <c r="H20" i="1"/>
  <c r="H21" i="1" s="1"/>
  <c r="H30" i="1"/>
  <c r="X7" i="1"/>
  <c r="C18" i="1"/>
  <c r="C34" i="1" s="1"/>
  <c r="T16" i="1"/>
  <c r="J32" i="1"/>
  <c r="U7" i="1"/>
  <c r="U32" i="1" s="1"/>
  <c r="T14" i="1"/>
  <c r="G18" i="1"/>
  <c r="G34" i="1" s="1"/>
  <c r="J14" i="1"/>
  <c r="J33" i="1" s="1"/>
  <c r="F20" i="1" l="1"/>
  <c r="F21" i="1" s="1"/>
  <c r="F34" i="1"/>
  <c r="X14" i="1"/>
  <c r="Y13" i="1"/>
  <c r="Z8" i="1"/>
  <c r="G30" i="1"/>
  <c r="Y7" i="1"/>
  <c r="J16" i="1"/>
  <c r="U14" i="1"/>
  <c r="G20" i="1"/>
  <c r="C20" i="1"/>
  <c r="T18" i="1"/>
  <c r="J35" i="1" l="1"/>
  <c r="U16" i="1"/>
  <c r="Y14" i="1"/>
  <c r="AA8" i="1"/>
  <c r="Z13" i="1"/>
  <c r="Z7" i="1"/>
  <c r="C21" i="1"/>
  <c r="T20" i="1"/>
  <c r="T21" i="1" s="1"/>
  <c r="G21" i="1"/>
  <c r="J18" i="1"/>
  <c r="J30" i="1" l="1"/>
  <c r="J34" i="1"/>
  <c r="Z14" i="1"/>
  <c r="AB8" i="1"/>
  <c r="AA13" i="1"/>
  <c r="AA7" i="1"/>
  <c r="J20" i="1"/>
  <c r="U18" i="1"/>
  <c r="U30" i="1" s="1"/>
  <c r="AA14" i="1" l="1"/>
  <c r="AC8" i="1"/>
  <c r="AB13" i="1"/>
  <c r="AB7" i="1"/>
  <c r="J21" i="1"/>
  <c r="U20" i="1"/>
  <c r="U21" i="1" s="1"/>
  <c r="AB14" i="1" l="1"/>
  <c r="AD8" i="1"/>
  <c r="AC13" i="1"/>
  <c r="AC7" i="1"/>
  <c r="AC14" i="1" l="1"/>
  <c r="AE8" i="1"/>
  <c r="AD13" i="1"/>
  <c r="AD7" i="1"/>
  <c r="AD14" i="1" s="1"/>
  <c r="AF8" i="1" l="1"/>
  <c r="AF13" i="1" s="1"/>
  <c r="AE13" i="1"/>
  <c r="AF7" i="1"/>
  <c r="AE7" i="1"/>
  <c r="AE14" i="1" l="1"/>
  <c r="AF14" i="1"/>
</calcChain>
</file>

<file path=xl/sharedStrings.xml><?xml version="1.0" encoding="utf-8"?>
<sst xmlns="http://schemas.openxmlformats.org/spreadsheetml/2006/main" count="77" uniqueCount="66">
  <si>
    <t>COGS</t>
  </si>
  <si>
    <t>SG&amp;A</t>
  </si>
  <si>
    <t>Taxes</t>
  </si>
  <si>
    <t>Shares</t>
  </si>
  <si>
    <t>EPS</t>
  </si>
  <si>
    <t>Gross Margin %</t>
  </si>
  <si>
    <t>Operating Margin %</t>
  </si>
  <si>
    <t>Net Margin %</t>
  </si>
  <si>
    <t>Tax Rate</t>
  </si>
  <si>
    <t>Balance Sheet</t>
  </si>
  <si>
    <t>Cash</t>
  </si>
  <si>
    <t>Debt</t>
  </si>
  <si>
    <t>Roblox</t>
  </si>
  <si>
    <t>Price</t>
  </si>
  <si>
    <t>MC</t>
  </si>
  <si>
    <t>EV</t>
  </si>
  <si>
    <t>(in thousands)</t>
  </si>
  <si>
    <t>Q423</t>
  </si>
  <si>
    <t>Q323</t>
  </si>
  <si>
    <t>Q223</t>
  </si>
  <si>
    <t>Q123</t>
  </si>
  <si>
    <t>Q422</t>
  </si>
  <si>
    <t>Q322</t>
  </si>
  <si>
    <t>Q222</t>
  </si>
  <si>
    <t>Q122</t>
  </si>
  <si>
    <t>Developer fees</t>
  </si>
  <si>
    <t>R&amp;D</t>
  </si>
  <si>
    <t>S&amp;M</t>
  </si>
  <si>
    <t>Operation expenses</t>
  </si>
  <si>
    <t>Operation profit</t>
  </si>
  <si>
    <t>Gross profit</t>
  </si>
  <si>
    <t>Other income</t>
  </si>
  <si>
    <t>Pretax income</t>
  </si>
  <si>
    <t>Net income</t>
  </si>
  <si>
    <t>December 31,</t>
  </si>
  <si>
    <t>September 30,</t>
  </si>
  <si>
    <t>June 30,</t>
  </si>
  <si>
    <t>March 31,</t>
  </si>
  <si>
    <t>Non-controlling intrest</t>
  </si>
  <si>
    <t>Net income to stockholders</t>
  </si>
  <si>
    <t>SG&amp;A y/y</t>
  </si>
  <si>
    <t>R&amp;D y/y</t>
  </si>
  <si>
    <t>Revenue y/y</t>
  </si>
  <si>
    <t>Net income y/y</t>
  </si>
  <si>
    <t>Developer fees y/y</t>
  </si>
  <si>
    <t>T&amp;S</t>
  </si>
  <si>
    <t>T&amp;S y/y</t>
  </si>
  <si>
    <t>S&amp;M y/y</t>
  </si>
  <si>
    <t>A/R</t>
  </si>
  <si>
    <t>Prepaids</t>
  </si>
  <si>
    <t>PP&amp;E</t>
  </si>
  <si>
    <t>Intangibles</t>
  </si>
  <si>
    <t>Other</t>
  </si>
  <si>
    <t>Assets</t>
  </si>
  <si>
    <t>A/P</t>
  </si>
  <si>
    <t>D/R</t>
  </si>
  <si>
    <t>D/R LT</t>
  </si>
  <si>
    <t>A/E</t>
  </si>
  <si>
    <t>Developer exchange</t>
  </si>
  <si>
    <t>D/R net</t>
  </si>
  <si>
    <t>OLA</t>
  </si>
  <si>
    <t>OLL</t>
  </si>
  <si>
    <t>S/E</t>
  </si>
  <si>
    <t>L+S/E</t>
  </si>
  <si>
    <t>(RBLX)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</si>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</sst>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2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2" fillId="0" borderId="0" xfId="0" applyFont="1"/>
    <xf numFmtId="4" fontId="0" fillId="0" borderId="0" xfId="0" applyNumberFormat="1"/>
    <xf numFmtId="3" fontId="5" fillId="0" borderId="0" xfId="0" applyNumberFormat="1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  <xf numFmtId="10" fontId="1" fillId="0" borderId="0" xfId="1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9" fontId="4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1</xdr:row>
      <xdr:rowOff>38100</xdr:rowOff>
    </xdr:from>
    <xdr:to>
      <xdr:col>21</xdr:col>
      <xdr:colOff>19050</xdr:colOff>
      <xdr:row>64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A48737D-86F3-D970-F0F6-8DDA5DD68FA2}"/>
            </a:ext>
          </a:extLst>
        </xdr:cNvPr>
        <xdr:cNvCxnSpPr/>
      </xdr:nvCxnSpPr>
      <xdr:spPr>
        <a:xfrm>
          <a:off x="14925675" y="200025"/>
          <a:ext cx="9525" cy="10563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0</xdr:row>
      <xdr:rowOff>0</xdr:rowOff>
    </xdr:from>
    <xdr:to>
      <xdr:col>10</xdr:col>
      <xdr:colOff>19050</xdr:colOff>
      <xdr:row>65</xdr:row>
      <xdr:rowOff>28575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F09AD36-EF35-4FD3-BA20-8B5BDF73D10C}"/>
            </a:ext>
          </a:extLst>
        </xdr:cNvPr>
        <xdr:cNvCxnSpPr/>
      </xdr:nvCxnSpPr>
      <xdr:spPr>
        <a:xfrm>
          <a:off x="7953375" y="0"/>
          <a:ext cx="0" cy="10829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047BE-CD1B-40DA-9FD0-3BFA1E95B9E2}">
  <dimension ref="A2:C9"/>
  <sheetViews>
    <sheetView workbookViewId="0">
      <selection activeCell="C6" sqref="C6"/>
    </sheetView>
  </sheetViews>
  <sheetFormatPr defaultRowHeight="15" x14ac:dyDescent="0.25"/>
  <cols>
    <col min="1" max="1" width="16.5703125" bestFit="1" customWidth="1"/>
    <col min="2" max="2" width="7.140625" bestFit="1" customWidth="1"/>
    <col min="3" max="3" width="14.85546875" bestFit="1" customWidth="1"/>
  </cols>
  <sheetData>
    <row r="2" spans="1:3" ht="36" x14ac:dyDescent="0.55000000000000004">
      <c r="A2" s="2" t="s">
        <v>12</v>
      </c>
      <c r="C2">
        <v>2023</v>
      </c>
    </row>
    <row r="3" spans="1:3" x14ac:dyDescent="0.25">
      <c r="A3" t="s">
        <v>16</v>
      </c>
    </row>
    <row r="4" spans="1:3" x14ac:dyDescent="0.25">
      <c r="B4" t="s">
        <v>13</v>
      </c>
      <c r="C4" s="3">
        <v>37</v>
      </c>
    </row>
    <row r="5" spans="1:3" x14ac:dyDescent="0.25">
      <c r="B5" t="s">
        <v>3</v>
      </c>
      <c r="C5" s="1">
        <v>631221</v>
      </c>
    </row>
    <row r="6" spans="1:3" x14ac:dyDescent="0.25">
      <c r="B6" t="s">
        <v>14</v>
      </c>
      <c r="C6" s="1">
        <f>C5*C4</f>
        <v>23355177</v>
      </c>
    </row>
    <row r="7" spans="1:3" x14ac:dyDescent="0.25">
      <c r="B7" t="s">
        <v>10</v>
      </c>
      <c r="C7" s="1">
        <f>678466+1514808+1043399</f>
        <v>3236673</v>
      </c>
    </row>
    <row r="8" spans="1:3" x14ac:dyDescent="0.25">
      <c r="B8" t="s">
        <v>11</v>
      </c>
      <c r="C8" s="1">
        <v>1005000</v>
      </c>
    </row>
    <row r="9" spans="1:3" x14ac:dyDescent="0.25">
      <c r="B9" t="s">
        <v>15</v>
      </c>
      <c r="C9" s="1">
        <f>C6-C7+C8</f>
        <v>21123504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C7EF-EBF5-4D2B-B430-C45A6C36DF52}">
  <dimension ref="B2:AF61"/>
  <sheetViews>
    <sheetView tabSelected="1" workbookViewId="0">
      <pane xSplit="2" ySplit="3" topLeftCell="H4" activePane="bottomRight" state="frozen"/>
      <selection pane="topRight" activeCell="B1" sqref="B1"/>
      <selection pane="bottomLeft" activeCell="A4" sqref="A4"/>
      <selection pane="bottomRight" activeCell="U33" sqref="U33"/>
    </sheetView>
  </sheetViews>
  <sheetFormatPr defaultRowHeight="12.75" x14ac:dyDescent="0.2"/>
  <cols>
    <col min="1" max="1" width="3.42578125" style="6" customWidth="1"/>
    <col min="2" max="2" width="25" style="6" bestFit="1" customWidth="1"/>
    <col min="3" max="4" width="9.28515625" style="6" bestFit="1" customWidth="1"/>
    <col min="5" max="5" width="13.7109375" style="6" bestFit="1" customWidth="1"/>
    <col min="6" max="6" width="13" style="6" bestFit="1" customWidth="1"/>
    <col min="7" max="8" width="9.28515625" style="6" bestFit="1" customWidth="1"/>
    <col min="9" max="9" width="13.7109375" style="6" bestFit="1" customWidth="1"/>
    <col min="10" max="10" width="13" style="6" bestFit="1" customWidth="1"/>
    <col min="11" max="11" width="9.85546875" style="6" bestFit="1" customWidth="1"/>
    <col min="12" max="18" width="9.140625" style="6"/>
    <col min="19" max="19" width="10.42578125" style="6" customWidth="1"/>
    <col min="20" max="20" width="9.5703125" style="6" customWidth="1"/>
    <col min="21" max="26" width="10.85546875" style="6" bestFit="1" customWidth="1"/>
    <col min="27" max="32" width="11.28515625" style="6" bestFit="1" customWidth="1"/>
    <col min="33" max="16384" width="9.140625" style="6"/>
  </cols>
  <sheetData>
    <row r="2" spans="2:32" s="5" customFormat="1" ht="34.5" x14ac:dyDescent="0.45">
      <c r="B2" s="4" t="s">
        <v>12</v>
      </c>
    </row>
    <row r="3" spans="2:32" s="11" customFormat="1" x14ac:dyDescent="0.2">
      <c r="B3" s="6" t="s">
        <v>16</v>
      </c>
      <c r="C3" s="11" t="s">
        <v>37</v>
      </c>
      <c r="D3" s="11" t="s">
        <v>36</v>
      </c>
      <c r="E3" s="11" t="s">
        <v>35</v>
      </c>
      <c r="F3" s="11" t="s">
        <v>34</v>
      </c>
      <c r="G3" s="11" t="s">
        <v>37</v>
      </c>
      <c r="H3" s="11" t="s">
        <v>36</v>
      </c>
      <c r="I3" s="11" t="s">
        <v>35</v>
      </c>
      <c r="J3" s="11" t="s">
        <v>34</v>
      </c>
    </row>
    <row r="4" spans="2:32" s="11" customFormat="1" x14ac:dyDescent="0.2">
      <c r="B4" s="6" t="s">
        <v>64</v>
      </c>
      <c r="C4" s="12" t="s">
        <v>24</v>
      </c>
      <c r="D4" s="12" t="s">
        <v>23</v>
      </c>
      <c r="E4" s="12" t="s">
        <v>22</v>
      </c>
      <c r="F4" s="12" t="s">
        <v>21</v>
      </c>
      <c r="G4" s="12" t="s">
        <v>20</v>
      </c>
      <c r="H4" s="12" t="s">
        <v>19</v>
      </c>
      <c r="I4" s="12" t="s">
        <v>18</v>
      </c>
      <c r="J4" s="12" t="s">
        <v>17</v>
      </c>
      <c r="S4" s="12">
        <v>2021</v>
      </c>
      <c r="T4" s="12">
        <v>2022</v>
      </c>
      <c r="U4" s="12">
        <v>2023</v>
      </c>
      <c r="V4" s="12">
        <f>+U4+1</f>
        <v>2024</v>
      </c>
      <c r="W4" s="12">
        <f t="shared" ref="W4:AF4" si="0">+V4+1</f>
        <v>2025</v>
      </c>
      <c r="X4" s="12">
        <f t="shared" si="0"/>
        <v>2026</v>
      </c>
      <c r="Y4" s="12">
        <f t="shared" si="0"/>
        <v>2027</v>
      </c>
      <c r="Z4" s="12">
        <f t="shared" si="0"/>
        <v>2028</v>
      </c>
      <c r="AA4" s="12">
        <f t="shared" si="0"/>
        <v>2029</v>
      </c>
      <c r="AB4" s="12">
        <f t="shared" si="0"/>
        <v>2030</v>
      </c>
      <c r="AC4" s="12">
        <f t="shared" si="0"/>
        <v>2031</v>
      </c>
      <c r="AD4" s="12">
        <f t="shared" si="0"/>
        <v>2032</v>
      </c>
      <c r="AE4" s="12">
        <f t="shared" si="0"/>
        <v>2033</v>
      </c>
      <c r="AF4" s="12">
        <f t="shared" si="0"/>
        <v>2034</v>
      </c>
    </row>
    <row r="5" spans="2:32" s="7" customFormat="1" x14ac:dyDescent="0.2">
      <c r="B5" s="7" t="s">
        <v>65</v>
      </c>
      <c r="C5" s="7">
        <v>537134</v>
      </c>
      <c r="D5" s="7">
        <v>591207</v>
      </c>
      <c r="E5" s="7">
        <v>517707</v>
      </c>
      <c r="F5" s="7">
        <f>2225052-E5-D5-C5</f>
        <v>579004</v>
      </c>
      <c r="G5" s="7">
        <v>655344</v>
      </c>
      <c r="H5" s="7">
        <v>680766</v>
      </c>
      <c r="I5" s="7">
        <v>713225</v>
      </c>
      <c r="J5" s="7">
        <f>2799274-I5-H5-G5</f>
        <v>749939</v>
      </c>
      <c r="T5" s="7">
        <f>SUM(C5:F5)</f>
        <v>2225052</v>
      </c>
      <c r="U5" s="7">
        <f>SUM(G5:J5)</f>
        <v>2799274</v>
      </c>
      <c r="V5" s="7">
        <f>+U5*0.26+U5</f>
        <v>3527085.24</v>
      </c>
      <c r="W5" s="7">
        <f t="shared" ref="W5" si="1">+V5*0.26+V5</f>
        <v>4444127.4024</v>
      </c>
      <c r="X5" s="7">
        <f>+W5*0.2+W5</f>
        <v>5332952.8828800004</v>
      </c>
      <c r="Y5" s="7">
        <f t="shared" ref="Y5:Z5" si="2">+X5*0.2+X5</f>
        <v>6399543.4594560005</v>
      </c>
      <c r="Z5" s="7">
        <f t="shared" si="2"/>
        <v>7679452.1513472004</v>
      </c>
      <c r="AA5" s="7">
        <f>+Z5*0.15+Z5</f>
        <v>8831369.9740492813</v>
      </c>
      <c r="AB5" s="7">
        <f t="shared" ref="AB5:AC5" si="3">+AA5*0.15+AA5</f>
        <v>10156075.470156673</v>
      </c>
      <c r="AC5" s="7">
        <f t="shared" si="3"/>
        <v>11679486.790680174</v>
      </c>
      <c r="AD5" s="7">
        <f>+AC5*0.1+AC5</f>
        <v>12847435.469748192</v>
      </c>
      <c r="AE5" s="7">
        <f t="shared" ref="AE5:AF5" si="4">+AD5*0.1+AD5</f>
        <v>14132179.016723011</v>
      </c>
      <c r="AF5" s="7">
        <f t="shared" si="4"/>
        <v>15545396.918395313</v>
      </c>
    </row>
    <row r="6" spans="2:32" x14ac:dyDescent="0.2">
      <c r="B6" s="6" t="s">
        <v>0</v>
      </c>
      <c r="C6" s="6">
        <v>135632</v>
      </c>
      <c r="D6" s="6">
        <v>143157</v>
      </c>
      <c r="E6" s="6">
        <v>126437</v>
      </c>
      <c r="F6" s="6">
        <f>547658-E6-D6-C6</f>
        <v>142432</v>
      </c>
      <c r="G6" s="6">
        <v>151841</v>
      </c>
      <c r="H6" s="6">
        <v>162029</v>
      </c>
      <c r="I6" s="6">
        <v>163581</v>
      </c>
      <c r="J6" s="6">
        <f>649115-I6-H6-G6</f>
        <v>171664</v>
      </c>
      <c r="T6" s="6">
        <f>SUM(C6:F6)</f>
        <v>547658</v>
      </c>
      <c r="U6" s="6">
        <f t="shared" ref="U6:U20" si="5">SUM(G6:J6)</f>
        <v>649115</v>
      </c>
    </row>
    <row r="7" spans="2:32" x14ac:dyDescent="0.2">
      <c r="B7" s="6" t="s">
        <v>30</v>
      </c>
      <c r="C7" s="6">
        <f t="shared" ref="C7:J7" si="6">C5-C6</f>
        <v>401502</v>
      </c>
      <c r="D7" s="6">
        <f t="shared" si="6"/>
        <v>448050</v>
      </c>
      <c r="E7" s="6">
        <f t="shared" si="6"/>
        <v>391270</v>
      </c>
      <c r="F7" s="6">
        <f t="shared" si="6"/>
        <v>436572</v>
      </c>
      <c r="G7" s="6">
        <f t="shared" si="6"/>
        <v>503503</v>
      </c>
      <c r="H7" s="6">
        <f t="shared" si="6"/>
        <v>518737</v>
      </c>
      <c r="I7" s="6">
        <f t="shared" si="6"/>
        <v>549644</v>
      </c>
      <c r="J7" s="6">
        <f t="shared" si="6"/>
        <v>578275</v>
      </c>
      <c r="T7" s="6">
        <f t="shared" ref="T7:T20" si="7">SUM(C7:F7)</f>
        <v>1677394</v>
      </c>
      <c r="U7" s="6">
        <f t="shared" si="5"/>
        <v>2150159</v>
      </c>
      <c r="V7" s="6">
        <f>+V5*0.77</f>
        <v>2715855.6348000001</v>
      </c>
      <c r="W7" s="6">
        <f t="shared" ref="W7:AF7" si="8">+W5*0.77</f>
        <v>3421978.0998479999</v>
      </c>
      <c r="X7" s="6">
        <f t="shared" si="8"/>
        <v>4106373.7198176002</v>
      </c>
      <c r="Y7" s="6">
        <f t="shared" si="8"/>
        <v>4927648.4637811203</v>
      </c>
      <c r="Z7" s="6">
        <f t="shared" si="8"/>
        <v>5913178.1565373447</v>
      </c>
      <c r="AA7" s="6">
        <f t="shared" si="8"/>
        <v>6800154.8800179465</v>
      </c>
      <c r="AB7" s="6">
        <f t="shared" si="8"/>
        <v>7820178.1120206388</v>
      </c>
      <c r="AC7" s="6">
        <f t="shared" si="8"/>
        <v>8993204.8288237341</v>
      </c>
      <c r="AD7" s="6">
        <f t="shared" si="8"/>
        <v>9892525.3117061071</v>
      </c>
      <c r="AE7" s="6">
        <f t="shared" si="8"/>
        <v>10881777.842876719</v>
      </c>
      <c r="AF7" s="6">
        <f t="shared" si="8"/>
        <v>11969955.627164392</v>
      </c>
    </row>
    <row r="8" spans="2:32" x14ac:dyDescent="0.2">
      <c r="B8" s="6" t="s">
        <v>25</v>
      </c>
      <c r="C8" s="6">
        <v>147122</v>
      </c>
      <c r="D8" s="6">
        <v>143148</v>
      </c>
      <c r="E8" s="6">
        <v>151470</v>
      </c>
      <c r="F8" s="6">
        <f>623855-E8-D8-C8</f>
        <v>182115</v>
      </c>
      <c r="G8" s="6">
        <v>182440</v>
      </c>
      <c r="H8" s="6">
        <v>165843</v>
      </c>
      <c r="I8" s="6">
        <v>170719</v>
      </c>
      <c r="J8" s="6">
        <f>740752-I8-H8-G8</f>
        <v>221750</v>
      </c>
      <c r="T8" s="6">
        <f t="shared" si="7"/>
        <v>623855</v>
      </c>
      <c r="U8" s="6">
        <f t="shared" si="5"/>
        <v>740752</v>
      </c>
      <c r="V8" s="6">
        <f>+U8*0.19+U8</f>
        <v>881494.88</v>
      </c>
      <c r="W8" s="6">
        <f t="shared" ref="W8:AF8" si="9">+V8*0.19+V8</f>
        <v>1048978.9072</v>
      </c>
      <c r="X8" s="6">
        <f t="shared" si="9"/>
        <v>1248284.8995680001</v>
      </c>
      <c r="Y8" s="6">
        <f t="shared" si="9"/>
        <v>1485459.0304859201</v>
      </c>
      <c r="Z8" s="6">
        <f t="shared" si="9"/>
        <v>1767696.246278245</v>
      </c>
      <c r="AA8" s="6">
        <f t="shared" si="9"/>
        <v>2103558.5330711114</v>
      </c>
      <c r="AB8" s="6">
        <f t="shared" si="9"/>
        <v>2503234.6543546226</v>
      </c>
      <c r="AC8" s="6">
        <f t="shared" si="9"/>
        <v>2978849.2386820009</v>
      </c>
      <c r="AD8" s="6">
        <f t="shared" si="9"/>
        <v>3544830.5940315812</v>
      </c>
      <c r="AE8" s="6">
        <f t="shared" si="9"/>
        <v>4218348.4068975821</v>
      </c>
      <c r="AF8" s="6">
        <f t="shared" si="9"/>
        <v>5019834.6042081229</v>
      </c>
    </row>
    <row r="9" spans="2:32" x14ac:dyDescent="0.2">
      <c r="B9" s="6" t="s">
        <v>45</v>
      </c>
      <c r="C9" s="6">
        <v>141355</v>
      </c>
      <c r="D9" s="6">
        <v>158235</v>
      </c>
      <c r="E9" s="6">
        <v>190986</v>
      </c>
      <c r="F9" s="6">
        <f>689081-E9-D9-C9</f>
        <v>198505</v>
      </c>
      <c r="G9" s="6">
        <v>211044</v>
      </c>
      <c r="H9" s="6">
        <v>225039</v>
      </c>
      <c r="I9" s="6">
        <v>218968</v>
      </c>
      <c r="J9" s="6">
        <f>878361-I9-H9-G9</f>
        <v>223310</v>
      </c>
      <c r="T9" s="6">
        <f t="shared" si="7"/>
        <v>689081</v>
      </c>
      <c r="U9" s="6">
        <f t="shared" si="5"/>
        <v>878361</v>
      </c>
      <c r="V9" s="6">
        <f>+U9*0.26+U9</f>
        <v>1106734.8600000001</v>
      </c>
      <c r="W9" s="6">
        <f t="shared" ref="W9:W12" si="10">+V9*0.26+V9</f>
        <v>1394485.9236000001</v>
      </c>
      <c r="X9" s="6">
        <f>+W9*0.2+W9</f>
        <v>1673383.1083200001</v>
      </c>
      <c r="Y9" s="6">
        <f t="shared" ref="Y9:Z12" si="11">+X9*0.2+X9</f>
        <v>2008059.7299840001</v>
      </c>
      <c r="Z9" s="6">
        <f t="shared" si="11"/>
        <v>2409671.6759808003</v>
      </c>
      <c r="AA9" s="6">
        <f>+Z9*0.15+Z9</f>
        <v>2771122.4273779201</v>
      </c>
      <c r="AB9" s="6">
        <f t="shared" ref="AB9:AC12" si="12">+AA9*0.15+AA9</f>
        <v>3186790.7914846083</v>
      </c>
      <c r="AC9" s="6">
        <f t="shared" si="12"/>
        <v>3664809.4102072995</v>
      </c>
      <c r="AD9" s="6">
        <f>+AC9*0.1+AC9</f>
        <v>4031290.3512280295</v>
      </c>
      <c r="AE9" s="6">
        <f t="shared" ref="AE9:AF12" si="13">+AD9*0.1+AD9</f>
        <v>4434419.3863508329</v>
      </c>
      <c r="AF9" s="6">
        <f t="shared" si="13"/>
        <v>4877861.3249859158</v>
      </c>
    </row>
    <row r="10" spans="2:32" x14ac:dyDescent="0.2">
      <c r="B10" s="6" t="s">
        <v>26</v>
      </c>
      <c r="C10" s="6">
        <v>177762</v>
      </c>
      <c r="D10" s="6">
        <v>211757</v>
      </c>
      <c r="E10" s="6">
        <v>235551</v>
      </c>
      <c r="F10" s="6">
        <f>873477-E10-D10-C10</f>
        <v>248407</v>
      </c>
      <c r="G10" s="6">
        <v>275537</v>
      </c>
      <c r="H10" s="6">
        <v>315319</v>
      </c>
      <c r="I10" s="6">
        <v>321613</v>
      </c>
      <c r="J10" s="6">
        <f>1253598-I10-H10-G10</f>
        <v>341129</v>
      </c>
      <c r="T10" s="6">
        <f t="shared" si="7"/>
        <v>873477</v>
      </c>
      <c r="U10" s="6">
        <f t="shared" si="5"/>
        <v>1253598</v>
      </c>
      <c r="V10" s="6">
        <f>+U10*0.26+U10</f>
        <v>1579533.48</v>
      </c>
      <c r="W10" s="6">
        <f t="shared" si="10"/>
        <v>1990212.1847999999</v>
      </c>
      <c r="X10" s="6">
        <f>+W10*0.2+W10</f>
        <v>2388254.62176</v>
      </c>
      <c r="Y10" s="6">
        <f t="shared" si="11"/>
        <v>2865905.546112</v>
      </c>
      <c r="Z10" s="6">
        <f t="shared" si="11"/>
        <v>3439086.6553344</v>
      </c>
      <c r="AA10" s="6">
        <f>+Z10*0.15+Z10</f>
        <v>3954949.6536345598</v>
      </c>
      <c r="AB10" s="6">
        <f t="shared" si="12"/>
        <v>4548192.1016797442</v>
      </c>
      <c r="AC10" s="6">
        <f t="shared" si="12"/>
        <v>5230420.9169317055</v>
      </c>
      <c r="AD10" s="6">
        <f>+AC10*0.1+AC10</f>
        <v>5753463.0086248759</v>
      </c>
      <c r="AE10" s="6">
        <f t="shared" si="13"/>
        <v>6328809.3094873633</v>
      </c>
      <c r="AF10" s="6">
        <f t="shared" si="13"/>
        <v>6961690.2404360995</v>
      </c>
    </row>
    <row r="11" spans="2:32" x14ac:dyDescent="0.2">
      <c r="B11" s="6" t="s">
        <v>1</v>
      </c>
      <c r="C11" s="6">
        <v>57772</v>
      </c>
      <c r="D11" s="6">
        <v>78676</v>
      </c>
      <c r="E11" s="6">
        <v>81165</v>
      </c>
      <c r="F11" s="6">
        <f>297317-E11-D11-C11</f>
        <v>79704</v>
      </c>
      <c r="G11" s="6">
        <v>97574</v>
      </c>
      <c r="H11" s="6">
        <v>96197</v>
      </c>
      <c r="I11" s="6">
        <v>97508</v>
      </c>
      <c r="J11" s="6">
        <f>390055-I11-H11-G11</f>
        <v>98776</v>
      </c>
      <c r="T11" s="6">
        <f t="shared" si="7"/>
        <v>297317</v>
      </c>
      <c r="U11" s="6">
        <f t="shared" si="5"/>
        <v>390055</v>
      </c>
      <c r="V11" s="6">
        <f>+U11*0.26+U11</f>
        <v>491469.3</v>
      </c>
      <c r="W11" s="6">
        <f t="shared" si="10"/>
        <v>619251.31799999997</v>
      </c>
      <c r="X11" s="6">
        <f>+W11*0.2+W11</f>
        <v>743101.58159999992</v>
      </c>
      <c r="Y11" s="6">
        <f t="shared" si="11"/>
        <v>891721.8979199999</v>
      </c>
      <c r="Z11" s="6">
        <f t="shared" si="11"/>
        <v>1070066.2775039999</v>
      </c>
      <c r="AA11" s="6">
        <f>+Z11*0.15+Z11</f>
        <v>1230576.2191295999</v>
      </c>
      <c r="AB11" s="6">
        <f t="shared" si="12"/>
        <v>1415162.6519990398</v>
      </c>
      <c r="AC11" s="6">
        <f t="shared" si="12"/>
        <v>1627437.0497988958</v>
      </c>
      <c r="AD11" s="6">
        <f>+AC11*0.1+AC11</f>
        <v>1790180.7547787854</v>
      </c>
      <c r="AE11" s="6">
        <f t="shared" si="13"/>
        <v>1969198.830256664</v>
      </c>
      <c r="AF11" s="6">
        <f t="shared" si="13"/>
        <v>2166118.7132823304</v>
      </c>
    </row>
    <row r="12" spans="2:32" x14ac:dyDescent="0.2">
      <c r="B12" s="6" t="s">
        <v>27</v>
      </c>
      <c r="C12" s="6">
        <v>29102</v>
      </c>
      <c r="D12" s="6">
        <v>26501</v>
      </c>
      <c r="E12" s="6">
        <v>32105</v>
      </c>
      <c r="F12" s="6">
        <f>117448-E12-D12-C12</f>
        <v>29740</v>
      </c>
      <c r="G12" s="6">
        <v>26755</v>
      </c>
      <c r="H12" s="6">
        <v>30328</v>
      </c>
      <c r="I12" s="6">
        <v>40874</v>
      </c>
      <c r="J12" s="6">
        <f>146460-I12-H12-G12</f>
        <v>48503</v>
      </c>
      <c r="T12" s="6">
        <f t="shared" si="7"/>
        <v>117448</v>
      </c>
      <c r="U12" s="6">
        <f t="shared" si="5"/>
        <v>146460</v>
      </c>
      <c r="V12" s="6">
        <f>+U12*0.26+U12</f>
        <v>184539.6</v>
      </c>
      <c r="W12" s="6">
        <f t="shared" si="10"/>
        <v>232519.89600000001</v>
      </c>
      <c r="X12" s="6">
        <f>+W12*0.2+W12</f>
        <v>279023.87520000001</v>
      </c>
      <c r="Y12" s="6">
        <f t="shared" si="11"/>
        <v>334828.65023999999</v>
      </c>
      <c r="Z12" s="6">
        <f t="shared" si="11"/>
        <v>401794.38028799999</v>
      </c>
      <c r="AA12" s="6">
        <f>+Z12*0.15+Z12</f>
        <v>462063.53733119997</v>
      </c>
      <c r="AB12" s="6">
        <f t="shared" si="12"/>
        <v>531373.06793088</v>
      </c>
      <c r="AC12" s="6">
        <f t="shared" si="12"/>
        <v>611079.02812051203</v>
      </c>
      <c r="AD12" s="6">
        <f>+AC12*0.1+AC12</f>
        <v>672186.93093256326</v>
      </c>
      <c r="AE12" s="6">
        <f t="shared" si="13"/>
        <v>739405.62402581959</v>
      </c>
      <c r="AF12" s="6">
        <f t="shared" si="13"/>
        <v>813346.1864284015</v>
      </c>
    </row>
    <row r="13" spans="2:32" x14ac:dyDescent="0.2">
      <c r="B13" s="6" t="s">
        <v>28</v>
      </c>
      <c r="C13" s="6">
        <f t="shared" ref="C13:J13" si="14">SUM(C8:C12)</f>
        <v>553113</v>
      </c>
      <c r="D13" s="6">
        <f t="shared" si="14"/>
        <v>618317</v>
      </c>
      <c r="E13" s="6">
        <f t="shared" si="14"/>
        <v>691277</v>
      </c>
      <c r="F13" s="6">
        <f t="shared" si="14"/>
        <v>738471</v>
      </c>
      <c r="G13" s="6">
        <f t="shared" si="14"/>
        <v>793350</v>
      </c>
      <c r="H13" s="6">
        <f t="shared" si="14"/>
        <v>832726</v>
      </c>
      <c r="I13" s="6">
        <f t="shared" si="14"/>
        <v>849682</v>
      </c>
      <c r="J13" s="6">
        <f t="shared" si="14"/>
        <v>933468</v>
      </c>
      <c r="T13" s="6">
        <f t="shared" si="7"/>
        <v>2601178</v>
      </c>
      <c r="U13" s="6">
        <f t="shared" si="5"/>
        <v>3409226</v>
      </c>
      <c r="V13" s="6">
        <f t="shared" ref="V13" si="15">SUM(V8:V12)</f>
        <v>4243772.12</v>
      </c>
      <c r="W13" s="6">
        <f t="shared" ref="W13" si="16">SUM(W8:W12)</f>
        <v>5285448.2295999993</v>
      </c>
      <c r="X13" s="6">
        <f t="shared" ref="X13" si="17">SUM(X8:X12)</f>
        <v>6332048.0864479998</v>
      </c>
      <c r="Y13" s="6">
        <f t="shared" ref="Y13" si="18">SUM(Y8:Y12)</f>
        <v>7585974.8547419198</v>
      </c>
      <c r="Z13" s="6">
        <f t="shared" ref="Z13" si="19">SUM(Z8:Z12)</f>
        <v>9088315.2353854459</v>
      </c>
      <c r="AA13" s="6">
        <f t="shared" ref="AA13" si="20">SUM(AA8:AA12)</f>
        <v>10522270.370544391</v>
      </c>
      <c r="AB13" s="6">
        <f t="shared" ref="AB13" si="21">SUM(AB8:AB12)</f>
        <v>12184753.267448895</v>
      </c>
      <c r="AC13" s="6">
        <f t="shared" ref="AC13" si="22">SUM(AC8:AC12)</f>
        <v>14112595.643740416</v>
      </c>
      <c r="AD13" s="6">
        <f t="shared" ref="AD13" si="23">SUM(AD8:AD12)</f>
        <v>15791951.639595835</v>
      </c>
      <c r="AE13" s="6">
        <f t="shared" ref="AE13" si="24">SUM(AE8:AE12)</f>
        <v>17690181.557018261</v>
      </c>
      <c r="AF13" s="6">
        <f t="shared" ref="AF13" si="25">SUM(AF8:AF12)</f>
        <v>19838851.069340874</v>
      </c>
    </row>
    <row r="14" spans="2:32" s="7" customFormat="1" x14ac:dyDescent="0.2">
      <c r="B14" s="7" t="s">
        <v>29</v>
      </c>
      <c r="C14" s="7">
        <f t="shared" ref="C14:J14" si="26">C7-C13</f>
        <v>-151611</v>
      </c>
      <c r="D14" s="7">
        <f t="shared" si="26"/>
        <v>-170267</v>
      </c>
      <c r="E14" s="7">
        <f t="shared" si="26"/>
        <v>-300007</v>
      </c>
      <c r="F14" s="7">
        <f t="shared" si="26"/>
        <v>-301899</v>
      </c>
      <c r="G14" s="7">
        <f t="shared" si="26"/>
        <v>-289847</v>
      </c>
      <c r="H14" s="7">
        <f t="shared" si="26"/>
        <v>-313989</v>
      </c>
      <c r="I14" s="7">
        <f t="shared" si="26"/>
        <v>-300038</v>
      </c>
      <c r="J14" s="7">
        <f t="shared" si="26"/>
        <v>-355193</v>
      </c>
      <c r="T14" s="7">
        <f t="shared" si="7"/>
        <v>-923784</v>
      </c>
      <c r="U14" s="7">
        <f t="shared" si="5"/>
        <v>-1259067</v>
      </c>
      <c r="V14" s="7">
        <f t="shared" ref="V14" si="27">V7-V13</f>
        <v>-1527916.4852</v>
      </c>
      <c r="W14" s="7">
        <f t="shared" ref="W14" si="28">W7-W13</f>
        <v>-1863470.1297519994</v>
      </c>
      <c r="X14" s="7">
        <f t="shared" ref="X14" si="29">X7-X13</f>
        <v>-2225674.3666303996</v>
      </c>
      <c r="Y14" s="7">
        <f t="shared" ref="Y14" si="30">Y7-Y13</f>
        <v>-2658326.3909607995</v>
      </c>
      <c r="Z14" s="7">
        <f t="shared" ref="Z14" si="31">Z7-Z13</f>
        <v>-3175137.0788481012</v>
      </c>
      <c r="AA14" s="7">
        <f t="shared" ref="AA14" si="32">AA7-AA13</f>
        <v>-3722115.4905264443</v>
      </c>
      <c r="AB14" s="7">
        <f t="shared" ref="AB14" si="33">AB7-AB13</f>
        <v>-4364575.1554282559</v>
      </c>
      <c r="AC14" s="7">
        <f t="shared" ref="AC14" si="34">AC7-AC13</f>
        <v>-5119390.8149166815</v>
      </c>
      <c r="AD14" s="7">
        <f t="shared" ref="AD14" si="35">AD7-AD13</f>
        <v>-5899426.3278897274</v>
      </c>
      <c r="AE14" s="7">
        <f t="shared" ref="AE14" si="36">AE7-AE13</f>
        <v>-6808403.7141415421</v>
      </c>
      <c r="AF14" s="7">
        <f t="shared" ref="AF14" si="37">AF7-AF13</f>
        <v>-7868895.4421764817</v>
      </c>
    </row>
    <row r="15" spans="2:32" x14ac:dyDescent="0.2">
      <c r="B15" s="6" t="s">
        <v>31</v>
      </c>
      <c r="C15" s="6">
        <f>245+-9999+-379</f>
        <v>-10133</v>
      </c>
      <c r="D15" s="6">
        <f>4197+-9891+-3051</f>
        <v>-8745</v>
      </c>
      <c r="E15" s="6">
        <f>12764+-10005+-4302</f>
        <v>-1543</v>
      </c>
      <c r="F15" s="6">
        <f>38842+-39903+-5744-E15-D15-C15</f>
        <v>13616</v>
      </c>
      <c r="G15" s="6">
        <f>31082+-10012+-440</f>
        <v>20630</v>
      </c>
      <c r="H15" s="6">
        <f>34764+-10129+3277</f>
        <v>27912</v>
      </c>
      <c r="I15" s="6">
        <f>36442+-10268+-4262</f>
        <v>21912</v>
      </c>
      <c r="J15" s="6">
        <f>141818+-40707+-527-I15-H15-G15</f>
        <v>30130</v>
      </c>
      <c r="T15" s="6">
        <f t="shared" si="7"/>
        <v>-6805</v>
      </c>
      <c r="U15" s="6">
        <f t="shared" si="5"/>
        <v>100584</v>
      </c>
    </row>
    <row r="16" spans="2:32" x14ac:dyDescent="0.2">
      <c r="B16" s="6" t="s">
        <v>32</v>
      </c>
      <c r="C16" s="6">
        <f t="shared" ref="C16:J16" si="38">C14+C15</f>
        <v>-161744</v>
      </c>
      <c r="D16" s="6">
        <f t="shared" si="38"/>
        <v>-179012</v>
      </c>
      <c r="E16" s="6">
        <f t="shared" si="38"/>
        <v>-301550</v>
      </c>
      <c r="F16" s="6">
        <f t="shared" si="38"/>
        <v>-288283</v>
      </c>
      <c r="G16" s="6">
        <f t="shared" si="38"/>
        <v>-269217</v>
      </c>
      <c r="H16" s="6">
        <f t="shared" si="38"/>
        <v>-286077</v>
      </c>
      <c r="I16" s="6">
        <f t="shared" si="38"/>
        <v>-278126</v>
      </c>
      <c r="J16" s="6">
        <f t="shared" si="38"/>
        <v>-325063</v>
      </c>
      <c r="T16" s="6">
        <f t="shared" si="7"/>
        <v>-930589</v>
      </c>
      <c r="U16" s="6">
        <f>SUM(G16:J16)</f>
        <v>-1158483</v>
      </c>
    </row>
    <row r="17" spans="2:21" x14ac:dyDescent="0.2">
      <c r="B17" s="6" t="s">
        <v>2</v>
      </c>
      <c r="C17" s="6">
        <v>276</v>
      </c>
      <c r="D17" s="6">
        <v>-278</v>
      </c>
      <c r="E17" s="6">
        <v>352</v>
      </c>
      <c r="F17" s="6">
        <f>3552-E17-D17-C17</f>
        <v>3202</v>
      </c>
      <c r="G17" s="6">
        <v>731</v>
      </c>
      <c r="H17" s="6">
        <v>-1236</v>
      </c>
      <c r="I17" s="6">
        <v>682</v>
      </c>
      <c r="J17" s="6">
        <f>454-I17-H17-G17</f>
        <v>277</v>
      </c>
      <c r="T17" s="6">
        <f t="shared" si="7"/>
        <v>3552</v>
      </c>
      <c r="U17" s="6">
        <f t="shared" si="5"/>
        <v>454</v>
      </c>
    </row>
    <row r="18" spans="2:21" s="7" customFormat="1" x14ac:dyDescent="0.2">
      <c r="B18" s="7" t="s">
        <v>33</v>
      </c>
      <c r="C18" s="7">
        <f t="shared" ref="C18:J18" si="39">C16-C17</f>
        <v>-162020</v>
      </c>
      <c r="D18" s="7">
        <f t="shared" si="39"/>
        <v>-178734</v>
      </c>
      <c r="E18" s="7">
        <f t="shared" si="39"/>
        <v>-301902</v>
      </c>
      <c r="F18" s="7">
        <f t="shared" si="39"/>
        <v>-291485</v>
      </c>
      <c r="G18" s="7">
        <f t="shared" si="39"/>
        <v>-269948</v>
      </c>
      <c r="H18" s="7">
        <f t="shared" si="39"/>
        <v>-284841</v>
      </c>
      <c r="I18" s="7">
        <f t="shared" si="39"/>
        <v>-278808</v>
      </c>
      <c r="J18" s="7">
        <f t="shared" si="39"/>
        <v>-325340</v>
      </c>
      <c r="T18" s="7">
        <f t="shared" si="7"/>
        <v>-934141</v>
      </c>
      <c r="U18" s="7">
        <f t="shared" si="5"/>
        <v>-1158937</v>
      </c>
    </row>
    <row r="19" spans="2:21" x14ac:dyDescent="0.2">
      <c r="B19" s="6" t="s">
        <v>38</v>
      </c>
      <c r="C19" s="6">
        <v>1818</v>
      </c>
      <c r="D19" s="6">
        <v>2294</v>
      </c>
      <c r="E19" s="6">
        <v>4104</v>
      </c>
      <c r="F19" s="6">
        <f>9775-E19-D19-C19</f>
        <v>1559</v>
      </c>
      <c r="G19" s="6">
        <v>1635</v>
      </c>
      <c r="H19" s="6">
        <v>2064</v>
      </c>
      <c r="I19" s="6">
        <v>1650</v>
      </c>
      <c r="J19" s="6">
        <f>6991-I19-H19-G19</f>
        <v>1642</v>
      </c>
      <c r="T19" s="6">
        <f t="shared" si="7"/>
        <v>9775</v>
      </c>
      <c r="U19" s="6">
        <f t="shared" si="5"/>
        <v>6991</v>
      </c>
    </row>
    <row r="20" spans="2:21" x14ac:dyDescent="0.2">
      <c r="B20" s="6" t="s">
        <v>39</v>
      </c>
      <c r="C20" s="6">
        <f>C18+C19</f>
        <v>-160202</v>
      </c>
      <c r="D20" s="6">
        <f t="shared" ref="D20:J20" si="40">D18+D19</f>
        <v>-176440</v>
      </c>
      <c r="E20" s="6">
        <f t="shared" si="40"/>
        <v>-297798</v>
      </c>
      <c r="F20" s="6">
        <f t="shared" si="40"/>
        <v>-289926</v>
      </c>
      <c r="G20" s="6">
        <f t="shared" si="40"/>
        <v>-268313</v>
      </c>
      <c r="H20" s="6">
        <f t="shared" si="40"/>
        <v>-282777</v>
      </c>
      <c r="I20" s="6">
        <f t="shared" si="40"/>
        <v>-277158</v>
      </c>
      <c r="J20" s="6">
        <f t="shared" si="40"/>
        <v>-323698</v>
      </c>
      <c r="T20" s="6">
        <f t="shared" si="7"/>
        <v>-924366</v>
      </c>
      <c r="U20" s="6">
        <f t="shared" si="5"/>
        <v>-1151946</v>
      </c>
    </row>
    <row r="21" spans="2:21" s="8" customFormat="1" x14ac:dyDescent="0.2">
      <c r="B21" s="8" t="s">
        <v>4</v>
      </c>
      <c r="C21" s="8">
        <f>C20/C22</f>
        <v>-0.27221118702646124</v>
      </c>
      <c r="D21" s="8">
        <f t="shared" ref="D21:J21" si="41">D20/D22</f>
        <v>-0.29707304589108446</v>
      </c>
      <c r="E21" s="8">
        <f t="shared" si="41"/>
        <v>-0.49817407436527544</v>
      </c>
      <c r="F21" s="8">
        <f t="shared" si="41"/>
        <v>-0.48171747867856091</v>
      </c>
      <c r="G21" s="8">
        <f t="shared" si="41"/>
        <v>-0.4422958045750589</v>
      </c>
      <c r="H21" s="8">
        <f t="shared" si="41"/>
        <v>-0.46153431838991721</v>
      </c>
      <c r="I21" s="8">
        <f t="shared" si="41"/>
        <v>-0.44749818357955923</v>
      </c>
      <c r="J21" s="8">
        <f t="shared" si="41"/>
        <v>-0.51641547692548229</v>
      </c>
      <c r="T21" s="8">
        <f t="shared" ref="T21:U21" si="42">T20/T22</f>
        <v>-1.5520981128653919</v>
      </c>
      <c r="U21" s="8">
        <f t="shared" si="42"/>
        <v>-1.8686922596500903</v>
      </c>
    </row>
    <row r="22" spans="2:21" x14ac:dyDescent="0.2">
      <c r="B22" s="6" t="s">
        <v>3</v>
      </c>
      <c r="C22" s="6">
        <v>588521</v>
      </c>
      <c r="D22" s="6">
        <v>593928</v>
      </c>
      <c r="E22" s="6">
        <v>597779</v>
      </c>
      <c r="F22" s="6">
        <v>601859</v>
      </c>
      <c r="G22" s="6">
        <v>606637</v>
      </c>
      <c r="H22" s="6">
        <v>612689</v>
      </c>
      <c r="I22" s="6">
        <v>619350</v>
      </c>
      <c r="J22" s="6">
        <v>626817</v>
      </c>
      <c r="T22" s="6">
        <v>595559</v>
      </c>
      <c r="U22" s="6">
        <v>616445</v>
      </c>
    </row>
    <row r="24" spans="2:21" s="13" customFormat="1" x14ac:dyDescent="0.2">
      <c r="B24" s="13" t="s">
        <v>42</v>
      </c>
      <c r="G24" s="13">
        <f>G5/C5-1</f>
        <v>0.22007543741412761</v>
      </c>
      <c r="H24" s="13">
        <f>H5/D5-1</f>
        <v>0.15148501286351479</v>
      </c>
      <c r="I24" s="13">
        <f>I5/E5-1</f>
        <v>0.37766149578815811</v>
      </c>
      <c r="J24" s="13">
        <f>J5/F5-1</f>
        <v>0.29522248550959929</v>
      </c>
      <c r="U24" s="13">
        <f>+U5/T5-1</f>
        <v>0.25807127204218139</v>
      </c>
    </row>
    <row r="25" spans="2:21" s="9" customFormat="1" x14ac:dyDescent="0.2">
      <c r="B25" s="9" t="s">
        <v>44</v>
      </c>
      <c r="G25" s="9">
        <f t="shared" ref="G25:I26" si="43">+G8/C8-1</f>
        <v>0.24005927053737719</v>
      </c>
      <c r="H25" s="9">
        <f t="shared" si="43"/>
        <v>0.15854220806438102</v>
      </c>
      <c r="I25" s="9">
        <f t="shared" si="43"/>
        <v>0.12708127021852511</v>
      </c>
      <c r="J25" s="9">
        <f>J8/F8-1</f>
        <v>0.21763720725914948</v>
      </c>
      <c r="U25" s="9">
        <f>+U8/T8-1</f>
        <v>0.18737847737054292</v>
      </c>
    </row>
    <row r="26" spans="2:21" s="9" customFormat="1" x14ac:dyDescent="0.2">
      <c r="B26" s="9" t="s">
        <v>46</v>
      </c>
      <c r="G26" s="9">
        <f t="shared" si="43"/>
        <v>0.49300696827137358</v>
      </c>
      <c r="H26" s="9">
        <f t="shared" si="43"/>
        <v>0.4221821973646791</v>
      </c>
      <c r="I26" s="9">
        <f t="shared" si="43"/>
        <v>0.14651335699998946</v>
      </c>
      <c r="J26" s="9">
        <f>+J9/F9-1</f>
        <v>0.124959069041082</v>
      </c>
      <c r="U26" s="9">
        <f>+U9/T9-1</f>
        <v>0.27468468873760843</v>
      </c>
    </row>
    <row r="27" spans="2:21" s="9" customFormat="1" x14ac:dyDescent="0.2">
      <c r="B27" s="9" t="s">
        <v>41</v>
      </c>
      <c r="G27" s="9">
        <f>G10/C10-1</f>
        <v>0.55003319044565213</v>
      </c>
      <c r="H27" s="9">
        <f>H10/D10-1</f>
        <v>0.48906057414867043</v>
      </c>
      <c r="I27" s="9">
        <f>I10/E10-1</f>
        <v>0.36536461318355684</v>
      </c>
      <c r="J27" s="9">
        <f>J10/F10-1</f>
        <v>0.37326645384389323</v>
      </c>
      <c r="U27" s="9">
        <f>U10/T10-1</f>
        <v>0.43518146442321903</v>
      </c>
    </row>
    <row r="28" spans="2:21" s="9" customFormat="1" x14ac:dyDescent="0.2">
      <c r="B28" s="9" t="s">
        <v>40</v>
      </c>
      <c r="G28" s="9">
        <f t="shared" ref="G28:J29" si="44">+G11/C11-1</f>
        <v>0.68894966419718906</v>
      </c>
      <c r="H28" s="9">
        <f t="shared" si="44"/>
        <v>0.22269815445625096</v>
      </c>
      <c r="I28" s="9">
        <f t="shared" si="44"/>
        <v>0.20135526396845926</v>
      </c>
      <c r="J28" s="9">
        <f t="shared" si="44"/>
        <v>0.23928535581652111</v>
      </c>
      <c r="U28" s="9">
        <f>U11/T11-1</f>
        <v>0.31191623755116593</v>
      </c>
    </row>
    <row r="29" spans="2:21" s="9" customFormat="1" x14ac:dyDescent="0.2">
      <c r="B29" s="9" t="s">
        <v>47</v>
      </c>
      <c r="G29" s="9">
        <f t="shared" si="44"/>
        <v>-8.0647378187066132E-2</v>
      </c>
      <c r="H29" s="9">
        <f t="shared" si="44"/>
        <v>0.14440964491905972</v>
      </c>
      <c r="I29" s="9">
        <f t="shared" si="44"/>
        <v>0.27313502569693204</v>
      </c>
      <c r="J29" s="9">
        <f t="shared" si="44"/>
        <v>0.63090114324142577</v>
      </c>
      <c r="U29" s="9">
        <f>+U12/T12-1</f>
        <v>0.24701995776854435</v>
      </c>
    </row>
    <row r="30" spans="2:21" s="9" customFormat="1" x14ac:dyDescent="0.2">
      <c r="B30" s="9" t="s">
        <v>43</v>
      </c>
      <c r="G30" s="9">
        <f>+G18/C18-1</f>
        <v>0.66613998271818287</v>
      </c>
      <c r="H30" s="9">
        <f>+H18/D18-1</f>
        <v>0.59365873308939543</v>
      </c>
      <c r="I30" s="9">
        <f>+I18/E18-1</f>
        <v>-7.6495021563288801E-2</v>
      </c>
      <c r="J30" s="9">
        <f>+J18/F18-1</f>
        <v>0.11614662847144785</v>
      </c>
      <c r="U30" s="9">
        <f>+U18/T18-1</f>
        <v>0.24064461360758171</v>
      </c>
    </row>
    <row r="31" spans="2:21" s="9" customFormat="1" x14ac:dyDescent="0.2"/>
    <row r="32" spans="2:21" s="9" customFormat="1" x14ac:dyDescent="0.2">
      <c r="B32" s="9" t="s">
        <v>5</v>
      </c>
      <c r="C32" s="9">
        <f t="shared" ref="C32:F32" si="45">C7/C5</f>
        <v>0.74748945328353822</v>
      </c>
      <c r="D32" s="9">
        <f t="shared" si="45"/>
        <v>0.75785638532696664</v>
      </c>
      <c r="E32" s="9">
        <f t="shared" si="45"/>
        <v>0.75577498469211346</v>
      </c>
      <c r="F32" s="9">
        <f t="shared" si="45"/>
        <v>0.75400515367769483</v>
      </c>
      <c r="G32" s="9">
        <f t="shared" ref="G32:I32" si="46">G7/G5</f>
        <v>0.76830336433994972</v>
      </c>
      <c r="H32" s="9">
        <f t="shared" si="46"/>
        <v>0.76199016989685153</v>
      </c>
      <c r="I32" s="9">
        <f t="shared" si="46"/>
        <v>0.77064600932384586</v>
      </c>
      <c r="J32" s="9">
        <f>J7/J5</f>
        <v>0.77109604914533048</v>
      </c>
      <c r="U32" s="9">
        <f>U7/U5</f>
        <v>0.76811308932244571</v>
      </c>
    </row>
    <row r="33" spans="2:21" s="9" customFormat="1" x14ac:dyDescent="0.2">
      <c r="B33" s="9" t="s">
        <v>6</v>
      </c>
      <c r="C33" s="9">
        <f t="shared" ref="C33:I33" si="47">+C14/C5</f>
        <v>-0.28225917555023516</v>
      </c>
      <c r="D33" s="9">
        <f t="shared" si="47"/>
        <v>-0.28799895806375769</v>
      </c>
      <c r="E33" s="9">
        <f t="shared" si="47"/>
        <v>-0.57949187474768549</v>
      </c>
      <c r="F33" s="9">
        <f t="shared" si="47"/>
        <v>-0.52141090562414072</v>
      </c>
      <c r="G33" s="9">
        <f t="shared" si="47"/>
        <v>-0.44228222124563588</v>
      </c>
      <c r="H33" s="9">
        <f t="shared" si="47"/>
        <v>-0.46122896854425749</v>
      </c>
      <c r="I33" s="9">
        <f t="shared" si="47"/>
        <v>-0.42067790669143679</v>
      </c>
      <c r="J33" s="9">
        <f>+J14/J5</f>
        <v>-0.47362918850733193</v>
      </c>
      <c r="U33" s="9">
        <f>+U14/U5</f>
        <v>-0.44978340812653567</v>
      </c>
    </row>
    <row r="34" spans="2:21" s="9" customFormat="1" x14ac:dyDescent="0.2">
      <c r="B34" s="9" t="s">
        <v>7</v>
      </c>
      <c r="C34" s="9">
        <f t="shared" ref="C34:I34" si="48">+C18/C5</f>
        <v>-0.3016379525407068</v>
      </c>
      <c r="D34" s="9">
        <f t="shared" si="48"/>
        <v>-0.30232050703053243</v>
      </c>
      <c r="E34" s="9">
        <f t="shared" si="48"/>
        <v>-0.58315224634783769</v>
      </c>
      <c r="F34" s="9">
        <f t="shared" si="48"/>
        <v>-0.50342484680589428</v>
      </c>
      <c r="G34" s="9">
        <f t="shared" si="48"/>
        <v>-0.41191801557655217</v>
      </c>
      <c r="H34" s="9">
        <f t="shared" si="48"/>
        <v>-0.41841249416098925</v>
      </c>
      <c r="I34" s="9">
        <f t="shared" si="48"/>
        <v>-0.3909117038802622</v>
      </c>
      <c r="J34" s="9">
        <f>+J18/J5</f>
        <v>-0.43382195085200265</v>
      </c>
    </row>
    <row r="35" spans="2:21" s="10" customFormat="1" x14ac:dyDescent="0.2">
      <c r="B35" s="10" t="s">
        <v>8</v>
      </c>
      <c r="C35" s="10">
        <f>C17/C16</f>
        <v>-1.7064002374122069E-3</v>
      </c>
      <c r="D35" s="10">
        <f t="shared" ref="D35:J35" si="49">D17/D16</f>
        <v>1.5529685160771344E-3</v>
      </c>
      <c r="E35" s="10">
        <f t="shared" si="49"/>
        <v>-1.1673022715967501E-3</v>
      </c>
      <c r="F35" s="10">
        <f t="shared" si="49"/>
        <v>-1.1107141246622243E-2</v>
      </c>
      <c r="G35" s="10">
        <f t="shared" si="49"/>
        <v>-2.7152817244081914E-3</v>
      </c>
      <c r="H35" s="10">
        <f t="shared" si="49"/>
        <v>4.3205151060728402E-3</v>
      </c>
      <c r="I35" s="10">
        <f t="shared" si="49"/>
        <v>-2.4521260148278119E-3</v>
      </c>
      <c r="J35" s="10">
        <f t="shared" si="49"/>
        <v>-8.5214250776003417E-4</v>
      </c>
    </row>
    <row r="40" spans="2:21" x14ac:dyDescent="0.2">
      <c r="B40" s="6" t="s">
        <v>9</v>
      </c>
    </row>
    <row r="41" spans="2:21" x14ac:dyDescent="0.2">
      <c r="B41" s="6" t="s">
        <v>10</v>
      </c>
      <c r="U41" s="6">
        <f>678466+1514808+1043399</f>
        <v>3236673</v>
      </c>
    </row>
    <row r="42" spans="2:21" x14ac:dyDescent="0.2">
      <c r="B42" s="6" t="s">
        <v>48</v>
      </c>
      <c r="U42" s="6">
        <v>505769</v>
      </c>
    </row>
    <row r="43" spans="2:21" x14ac:dyDescent="0.2">
      <c r="B43" s="6" t="s">
        <v>49</v>
      </c>
      <c r="U43" s="6">
        <v>74549</v>
      </c>
    </row>
    <row r="44" spans="2:21" x14ac:dyDescent="0.2">
      <c r="B44" s="6" t="s">
        <v>55</v>
      </c>
      <c r="U44" s="6">
        <v>501821</v>
      </c>
    </row>
    <row r="45" spans="2:21" x14ac:dyDescent="0.2">
      <c r="B45" s="6" t="s">
        <v>50</v>
      </c>
      <c r="U45" s="6">
        <v>695360</v>
      </c>
    </row>
    <row r="46" spans="2:21" x14ac:dyDescent="0.2">
      <c r="B46" s="6" t="s">
        <v>60</v>
      </c>
      <c r="U46" s="6">
        <v>665107</v>
      </c>
    </row>
    <row r="47" spans="2:21" x14ac:dyDescent="0.2">
      <c r="B47" s="6" t="s">
        <v>56</v>
      </c>
      <c r="U47" s="6">
        <v>283326</v>
      </c>
    </row>
    <row r="48" spans="2:21" x14ac:dyDescent="0.2">
      <c r="B48" s="6" t="s">
        <v>51</v>
      </c>
      <c r="U48" s="6">
        <f>53060+142129</f>
        <v>195189</v>
      </c>
    </row>
    <row r="49" spans="2:21" x14ac:dyDescent="0.2">
      <c r="B49" s="6" t="s">
        <v>52</v>
      </c>
      <c r="U49" s="6">
        <v>10284</v>
      </c>
    </row>
    <row r="50" spans="2:21" x14ac:dyDescent="0.2">
      <c r="B50" s="6" t="s">
        <v>53</v>
      </c>
      <c r="U50" s="6">
        <f>SUM(U41:U49)</f>
        <v>6168078</v>
      </c>
    </row>
    <row r="52" spans="2:21" x14ac:dyDescent="0.2">
      <c r="B52" s="6" t="s">
        <v>11</v>
      </c>
      <c r="U52" s="6">
        <v>1005000</v>
      </c>
    </row>
    <row r="53" spans="2:21" x14ac:dyDescent="0.2">
      <c r="B53" s="6" t="s">
        <v>54</v>
      </c>
      <c r="U53" s="6">
        <v>60087</v>
      </c>
    </row>
    <row r="54" spans="2:21" x14ac:dyDescent="0.2">
      <c r="B54" s="6" t="s">
        <v>57</v>
      </c>
      <c r="U54" s="6">
        <v>271121</v>
      </c>
    </row>
    <row r="55" spans="2:21" x14ac:dyDescent="0.2">
      <c r="B55" s="6" t="s">
        <v>58</v>
      </c>
      <c r="U55" s="6">
        <v>314866</v>
      </c>
    </row>
    <row r="56" spans="2:21" x14ac:dyDescent="0.2">
      <c r="B56" s="6" t="s">
        <v>55</v>
      </c>
      <c r="U56" s="6">
        <v>2406292</v>
      </c>
    </row>
    <row r="57" spans="2:21" x14ac:dyDescent="0.2">
      <c r="B57" s="6" t="s">
        <v>59</v>
      </c>
      <c r="U57" s="6">
        <v>1373250</v>
      </c>
    </row>
    <row r="58" spans="2:21" x14ac:dyDescent="0.2">
      <c r="B58" s="6" t="s">
        <v>61</v>
      </c>
      <c r="U58" s="6">
        <v>646506</v>
      </c>
    </row>
    <row r="59" spans="2:21" x14ac:dyDescent="0.2">
      <c r="B59" s="6" t="s">
        <v>52</v>
      </c>
      <c r="U59" s="6">
        <v>22330</v>
      </c>
    </row>
    <row r="60" spans="2:21" x14ac:dyDescent="0.2">
      <c r="B60" s="6" t="s">
        <v>62</v>
      </c>
      <c r="U60" s="6">
        <v>68626</v>
      </c>
    </row>
    <row r="61" spans="2:21" x14ac:dyDescent="0.2">
      <c r="B61" s="6" t="s">
        <v>63</v>
      </c>
      <c r="U61" s="6">
        <f>SUM(U52:U60)</f>
        <v>6168078</v>
      </c>
    </row>
  </sheetData>
  <pageMargins left="0.7" right="0.7" top="0.75" bottom="0.75" header="0.3" footer="0.3"/>
  <ignoredErrors>
    <ignoredError sqref="G27:I27 J26:J2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2024-02-09T21:29:03Z</dcterms:created>
  <dcterms:modified xsi:type="dcterms:W3CDTF">2024-03-22T14:20:30Z</dcterms:modified>
</cp:coreProperties>
</file>