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3576171F-29F4-406E-830E-D3728C0EF038}" xr6:coauthVersionLast="47" xr6:coauthVersionMax="47" xr10:uidLastSave="{00000000-0000-0000-0000-000000000000}"/>
  <bookViews>
    <workbookView xWindow="0" yWindow="0" windowWidth="14400" windowHeight="15600" activeTab="1" xr2:uid="{6ED6938C-F794-4E5A-A0D2-414049A98EE4}"/>
  </bookViews>
  <sheets>
    <sheet name="Main" sheetId="1" r:id="rId1"/>
    <sheet name="Model" sheetId="2" r:id="rId2"/>
    <sheet name="Seg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3" l="1"/>
  <c r="I51" i="3"/>
  <c r="I49" i="3"/>
  <c r="I48" i="3"/>
  <c r="I47" i="3"/>
  <c r="I45" i="3"/>
  <c r="I44" i="3"/>
  <c r="I40" i="3"/>
  <c r="I39" i="3"/>
  <c r="I37" i="3"/>
  <c r="I36" i="3"/>
  <c r="I35" i="3"/>
  <c r="I33" i="3"/>
  <c r="I32" i="3"/>
  <c r="I100" i="3"/>
  <c r="I99" i="3"/>
  <c r="I97" i="3"/>
  <c r="I96" i="3"/>
  <c r="I95" i="3"/>
  <c r="I93" i="3"/>
  <c r="I92" i="3"/>
  <c r="I90" i="3"/>
  <c r="K90" i="3"/>
  <c r="I88" i="3"/>
  <c r="I87" i="3"/>
  <c r="I85" i="3"/>
  <c r="I84" i="3"/>
  <c r="I83" i="3"/>
  <c r="I81" i="3"/>
  <c r="I80" i="3"/>
  <c r="I76" i="3"/>
  <c r="I75" i="3"/>
  <c r="I73" i="3"/>
  <c r="I72" i="3"/>
  <c r="I71" i="3"/>
  <c r="I69" i="3"/>
  <c r="I68" i="3"/>
  <c r="I66" i="3"/>
  <c r="I78" i="3"/>
  <c r="K78" i="3"/>
  <c r="I64" i="3"/>
  <c r="I63" i="3"/>
  <c r="I61" i="3"/>
  <c r="I60" i="3"/>
  <c r="I59" i="3"/>
  <c r="I57" i="3"/>
  <c r="I56" i="3"/>
  <c r="I54" i="3"/>
  <c r="K66" i="3"/>
  <c r="K54" i="3"/>
  <c r="K28" i="3"/>
  <c r="I28" i="3"/>
  <c r="I27" i="3"/>
  <c r="I26" i="3"/>
  <c r="I25" i="3"/>
  <c r="K27" i="3"/>
  <c r="K26" i="3"/>
  <c r="K25" i="3"/>
  <c r="G22" i="3"/>
  <c r="K22" i="3"/>
  <c r="K8" i="3"/>
  <c r="I22" i="3"/>
  <c r="G21" i="3"/>
  <c r="G20" i="3"/>
  <c r="G19" i="3"/>
  <c r="G18" i="3"/>
  <c r="I21" i="3"/>
  <c r="I20" i="3"/>
  <c r="I19" i="3"/>
  <c r="I18" i="3"/>
  <c r="G15" i="3"/>
  <c r="K15" i="3"/>
  <c r="I15" i="3"/>
  <c r="G8" i="3"/>
  <c r="I8" i="3"/>
  <c r="M83" i="3" l="1"/>
  <c r="M37" i="3"/>
  <c r="M36" i="3"/>
  <c r="M35" i="3"/>
  <c r="M47" i="3" s="1"/>
  <c r="M39" i="3"/>
  <c r="M51" i="3" s="1"/>
  <c r="M52" i="3"/>
  <c r="M49" i="3"/>
  <c r="M48" i="3"/>
  <c r="M45" i="3"/>
  <c r="M44" i="3"/>
  <c r="M22" i="3"/>
  <c r="M15" i="3"/>
  <c r="M8" i="3"/>
  <c r="O44" i="3"/>
  <c r="M40" i="3"/>
  <c r="M33" i="3"/>
  <c r="M32" i="3"/>
  <c r="M100" i="3"/>
  <c r="M99" i="3"/>
  <c r="M97" i="3"/>
  <c r="M96" i="3"/>
  <c r="M95" i="3"/>
  <c r="M93" i="3"/>
  <c r="M92" i="3"/>
  <c r="M76" i="3"/>
  <c r="M75" i="3"/>
  <c r="M88" i="3"/>
  <c r="M87" i="3"/>
  <c r="M85" i="3"/>
  <c r="M84" i="3"/>
  <c r="M81" i="3"/>
  <c r="M80" i="3"/>
  <c r="M90" i="3"/>
  <c r="M78" i="3"/>
  <c r="M73" i="3"/>
  <c r="M72" i="3"/>
  <c r="M71" i="3"/>
  <c r="M69" i="3"/>
  <c r="M68" i="3"/>
  <c r="M66" i="3"/>
  <c r="M64" i="3"/>
  <c r="M63" i="3"/>
  <c r="M61" i="3"/>
  <c r="M60" i="3"/>
  <c r="M59" i="3"/>
  <c r="M57" i="3"/>
  <c r="M56" i="3"/>
  <c r="M54" i="3"/>
  <c r="M25" i="3"/>
  <c r="M28" i="3"/>
  <c r="M27" i="3"/>
  <c r="M26" i="3"/>
  <c r="K18" i="3"/>
  <c r="K21" i="3"/>
  <c r="K20" i="3"/>
  <c r="K19" i="3"/>
  <c r="O39" i="3"/>
  <c r="O51" i="3" s="1"/>
  <c r="O52" i="3"/>
  <c r="O49" i="3"/>
  <c r="O48" i="3"/>
  <c r="O47" i="3"/>
  <c r="O45" i="3"/>
  <c r="O54" i="3"/>
  <c r="O56" i="3" s="1"/>
  <c r="O15" i="3"/>
  <c r="O8" i="3"/>
  <c r="O90" i="3"/>
  <c r="O93" i="3" s="1"/>
  <c r="O78" i="3"/>
  <c r="O88" i="3" s="1"/>
  <c r="O66" i="3"/>
  <c r="O75" i="3" s="1"/>
  <c r="O28" i="3"/>
  <c r="O27" i="3"/>
  <c r="O26" i="3"/>
  <c r="O25" i="3"/>
  <c r="O21" i="3"/>
  <c r="M21" i="3"/>
  <c r="O20" i="3"/>
  <c r="M20" i="3"/>
  <c r="O19" i="3"/>
  <c r="M19" i="3"/>
  <c r="O18" i="3"/>
  <c r="M18" i="3"/>
  <c r="R12" i="2"/>
  <c r="R9" i="2"/>
  <c r="R21" i="2" s="1"/>
  <c r="S26" i="2"/>
  <c r="S12" i="2"/>
  <c r="S9" i="2"/>
  <c r="S21" i="2" s="1"/>
  <c r="T26" i="2"/>
  <c r="T12" i="2"/>
  <c r="T9" i="2"/>
  <c r="T21" i="2" s="1"/>
  <c r="U26" i="2"/>
  <c r="U12" i="2"/>
  <c r="U9" i="2"/>
  <c r="L10" i="1"/>
  <c r="D16" i="2"/>
  <c r="D14" i="2"/>
  <c r="D11" i="2"/>
  <c r="D10" i="2"/>
  <c r="D8" i="2"/>
  <c r="D7" i="2"/>
  <c r="F16" i="2"/>
  <c r="F14" i="2"/>
  <c r="F11" i="2"/>
  <c r="F10" i="2"/>
  <c r="F8" i="2"/>
  <c r="F7" i="2"/>
  <c r="H16" i="2"/>
  <c r="H14" i="2"/>
  <c r="H11" i="2"/>
  <c r="H10" i="2"/>
  <c r="H8" i="2"/>
  <c r="H7" i="2"/>
  <c r="C12" i="2"/>
  <c r="C9" i="2"/>
  <c r="C21" i="2" s="1"/>
  <c r="E26" i="2"/>
  <c r="E12" i="2"/>
  <c r="E9" i="2"/>
  <c r="G26" i="2"/>
  <c r="G12" i="2"/>
  <c r="G9" i="2"/>
  <c r="V26" i="2"/>
  <c r="V12" i="2"/>
  <c r="V9" i="2"/>
  <c r="V21" i="2" s="1"/>
  <c r="W26" i="2"/>
  <c r="W12" i="2"/>
  <c r="W9" i="2"/>
  <c r="X26" i="2"/>
  <c r="X12" i="2"/>
  <c r="X9" i="2"/>
  <c r="X21" i="2" s="1"/>
  <c r="I26" i="2"/>
  <c r="J16" i="2"/>
  <c r="J14" i="2"/>
  <c r="J11" i="2"/>
  <c r="J10" i="2"/>
  <c r="J8" i="2"/>
  <c r="J7" i="2"/>
  <c r="J26" i="2" s="1"/>
  <c r="Y26" i="2"/>
  <c r="Y12" i="2"/>
  <c r="Y9" i="2"/>
  <c r="Y21" i="2" s="1"/>
  <c r="I12" i="2"/>
  <c r="I9" i="2"/>
  <c r="O26" i="2"/>
  <c r="M26" i="2"/>
  <c r="K26" i="2"/>
  <c r="L16" i="2"/>
  <c r="L14" i="2"/>
  <c r="L11" i="2"/>
  <c r="L10" i="2"/>
  <c r="L8" i="2"/>
  <c r="L7" i="2"/>
  <c r="K12" i="2"/>
  <c r="K9" i="2"/>
  <c r="N16" i="2"/>
  <c r="N14" i="2"/>
  <c r="N11" i="2"/>
  <c r="N10" i="2"/>
  <c r="N8" i="2"/>
  <c r="N7" i="2"/>
  <c r="G18" i="1"/>
  <c r="G17" i="1"/>
  <c r="F18" i="1"/>
  <c r="F17" i="1"/>
  <c r="G13" i="1"/>
  <c r="G12" i="1"/>
  <c r="G11" i="1"/>
  <c r="F13" i="1"/>
  <c r="F12" i="1"/>
  <c r="F11" i="1"/>
  <c r="G7" i="1"/>
  <c r="G6" i="1"/>
  <c r="G5" i="1"/>
  <c r="G4" i="1"/>
  <c r="F7" i="1"/>
  <c r="F6" i="1"/>
  <c r="F5" i="1"/>
  <c r="F4" i="1"/>
  <c r="E14" i="1"/>
  <c r="E19" i="1"/>
  <c r="D19" i="1"/>
  <c r="D14" i="1"/>
  <c r="E8" i="1"/>
  <c r="D8" i="1"/>
  <c r="Z26" i="2"/>
  <c r="Z12" i="2"/>
  <c r="Z9" i="2"/>
  <c r="AA26" i="2"/>
  <c r="AA12" i="2"/>
  <c r="AA9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M12" i="2"/>
  <c r="M9" i="2"/>
  <c r="M21" i="2" s="1"/>
  <c r="O14" i="2"/>
  <c r="O12" i="2"/>
  <c r="O9" i="2"/>
  <c r="O21" i="2" s="1"/>
  <c r="L6" i="1"/>
  <c r="L7" i="1"/>
  <c r="O57" i="3" l="1"/>
  <c r="O22" i="3"/>
  <c r="O95" i="3"/>
  <c r="O68" i="3"/>
  <c r="O72" i="3"/>
  <c r="O76" i="3"/>
  <c r="O96" i="3"/>
  <c r="O97" i="3"/>
  <c r="O80" i="3"/>
  <c r="O81" i="3"/>
  <c r="O99" i="3"/>
  <c r="O83" i="3"/>
  <c r="O100" i="3"/>
  <c r="O84" i="3"/>
  <c r="O85" i="3"/>
  <c r="O69" i="3"/>
  <c r="O87" i="3"/>
  <c r="O71" i="3"/>
  <c r="O73" i="3"/>
  <c r="O92" i="3"/>
  <c r="F12" i="2"/>
  <c r="D9" i="2"/>
  <c r="D21" i="2" s="1"/>
  <c r="J12" i="2"/>
  <c r="H12" i="2"/>
  <c r="D12" i="2"/>
  <c r="F9" i="2"/>
  <c r="F21" i="2" s="1"/>
  <c r="H26" i="2"/>
  <c r="J9" i="2"/>
  <c r="J21" i="2" s="1"/>
  <c r="H9" i="2"/>
  <c r="H21" i="2" s="1"/>
  <c r="F26" i="2"/>
  <c r="L26" i="2"/>
  <c r="R13" i="2"/>
  <c r="S13" i="2"/>
  <c r="S22" i="2" s="1"/>
  <c r="T13" i="2"/>
  <c r="U13" i="2"/>
  <c r="U15" i="2" s="1"/>
  <c r="U21" i="2"/>
  <c r="C13" i="2"/>
  <c r="C22" i="2" s="1"/>
  <c r="E13" i="2"/>
  <c r="E22" i="2" s="1"/>
  <c r="E21" i="2"/>
  <c r="G13" i="2"/>
  <c r="G15" i="2" s="1"/>
  <c r="G21" i="2"/>
  <c r="N9" i="2"/>
  <c r="N21" i="2" s="1"/>
  <c r="V13" i="2"/>
  <c r="W13" i="2"/>
  <c r="W15" i="2" s="1"/>
  <c r="W21" i="2"/>
  <c r="X13" i="2"/>
  <c r="X15" i="2" s="1"/>
  <c r="X17" i="2" s="1"/>
  <c r="Y13" i="2"/>
  <c r="L12" i="2"/>
  <c r="N12" i="2"/>
  <c r="L9" i="2"/>
  <c r="O13" i="2"/>
  <c r="O15" i="2" s="1"/>
  <c r="N26" i="2"/>
  <c r="I13" i="2"/>
  <c r="I22" i="2" s="1"/>
  <c r="I21" i="2"/>
  <c r="K13" i="2"/>
  <c r="K15" i="2" s="1"/>
  <c r="K21" i="2"/>
  <c r="Z13" i="2"/>
  <c r="Z22" i="2" s="1"/>
  <c r="Z21" i="2"/>
  <c r="AA13" i="2"/>
  <c r="AA22" i="2" s="1"/>
  <c r="AA21" i="2"/>
  <c r="M13" i="2"/>
  <c r="M15" i="2" s="1"/>
  <c r="O33" i="3" l="1"/>
  <c r="O32" i="3"/>
  <c r="D13" i="2"/>
  <c r="D15" i="2" s="1"/>
  <c r="D17" i="2" s="1"/>
  <c r="D23" i="2" s="1"/>
  <c r="F13" i="2"/>
  <c r="F22" i="2" s="1"/>
  <c r="G22" i="2"/>
  <c r="Z15" i="2"/>
  <c r="Z24" i="2" s="1"/>
  <c r="K22" i="2"/>
  <c r="N13" i="2"/>
  <c r="N22" i="2" s="1"/>
  <c r="J13" i="2"/>
  <c r="J22" i="2" s="1"/>
  <c r="E15" i="2"/>
  <c r="E24" i="2" s="1"/>
  <c r="H13" i="2"/>
  <c r="R22" i="2"/>
  <c r="R15" i="2"/>
  <c r="S15" i="2"/>
  <c r="S24" i="2" s="1"/>
  <c r="T15" i="2"/>
  <c r="T22" i="2"/>
  <c r="U22" i="2"/>
  <c r="U24" i="2"/>
  <c r="U17" i="2"/>
  <c r="C15" i="2"/>
  <c r="C24" i="2" s="1"/>
  <c r="G24" i="2"/>
  <c r="G17" i="2"/>
  <c r="O22" i="2"/>
  <c r="V22" i="2"/>
  <c r="V15" i="2"/>
  <c r="W22" i="2"/>
  <c r="W24" i="2"/>
  <c r="W17" i="2"/>
  <c r="X24" i="2"/>
  <c r="X22" i="2"/>
  <c r="X23" i="2"/>
  <c r="X18" i="2"/>
  <c r="Y22" i="2"/>
  <c r="Y15" i="2"/>
  <c r="L13" i="2"/>
  <c r="L21" i="2"/>
  <c r="I15" i="2"/>
  <c r="I24" i="2" s="1"/>
  <c r="K24" i="2"/>
  <c r="K17" i="2"/>
  <c r="AA15" i="2"/>
  <c r="AA24" i="2" s="1"/>
  <c r="O17" i="2"/>
  <c r="O24" i="2"/>
  <c r="M22" i="2"/>
  <c r="O63" i="3" l="1"/>
  <c r="O64" i="3"/>
  <c r="O40" i="3" s="1"/>
  <c r="O60" i="3"/>
  <c r="O36" i="3" s="1"/>
  <c r="O59" i="3"/>
  <c r="O35" i="3" s="1"/>
  <c r="O61" i="3"/>
  <c r="O37" i="3" s="1"/>
  <c r="Z17" i="2"/>
  <c r="Z23" i="2" s="1"/>
  <c r="F15" i="2"/>
  <c r="F17" i="2" s="1"/>
  <c r="D22" i="2"/>
  <c r="D24" i="2"/>
  <c r="C17" i="2"/>
  <c r="C23" i="2" s="1"/>
  <c r="J15" i="2"/>
  <c r="J17" i="2" s="1"/>
  <c r="E17" i="2"/>
  <c r="E23" i="2" s="1"/>
  <c r="D18" i="2"/>
  <c r="N15" i="2"/>
  <c r="N24" i="2" s="1"/>
  <c r="H15" i="2"/>
  <c r="H22" i="2"/>
  <c r="R24" i="2"/>
  <c r="R17" i="2"/>
  <c r="S17" i="2"/>
  <c r="S23" i="2" s="1"/>
  <c r="T24" i="2"/>
  <c r="T17" i="2"/>
  <c r="U18" i="2"/>
  <c r="U23" i="2"/>
  <c r="G23" i="2"/>
  <c r="G18" i="2"/>
  <c r="V24" i="2"/>
  <c r="V17" i="2"/>
  <c r="W23" i="2"/>
  <c r="W18" i="2"/>
  <c r="Y24" i="2"/>
  <c r="Y17" i="2"/>
  <c r="O23" i="2"/>
  <c r="O18" i="2"/>
  <c r="L15" i="2"/>
  <c r="L22" i="2"/>
  <c r="I17" i="2"/>
  <c r="I23" i="2" s="1"/>
  <c r="K18" i="2"/>
  <c r="K23" i="2"/>
  <c r="AA17" i="2"/>
  <c r="M24" i="2"/>
  <c r="M17" i="2"/>
  <c r="Z18" i="2" l="1"/>
  <c r="C18" i="2"/>
  <c r="F24" i="2"/>
  <c r="J24" i="2"/>
  <c r="E18" i="2"/>
  <c r="F18" i="2"/>
  <c r="F23" i="2"/>
  <c r="N17" i="2"/>
  <c r="N23" i="2" s="1"/>
  <c r="H17" i="2"/>
  <c r="H24" i="2"/>
  <c r="R23" i="2"/>
  <c r="R18" i="2"/>
  <c r="S18" i="2"/>
  <c r="T23" i="2"/>
  <c r="T18" i="2"/>
  <c r="J23" i="2"/>
  <c r="J18" i="2"/>
  <c r="V23" i="2"/>
  <c r="V18" i="2"/>
  <c r="Y18" i="2"/>
  <c r="Y23" i="2"/>
  <c r="AA23" i="2"/>
  <c r="AA18" i="2"/>
  <c r="M23" i="2"/>
  <c r="M18" i="2"/>
  <c r="L17" i="2"/>
  <c r="L24" i="2"/>
  <c r="I18" i="2"/>
  <c r="N18" i="2" l="1"/>
  <c r="H18" i="2"/>
  <c r="H23" i="2"/>
  <c r="L18" i="2"/>
  <c r="L23" i="2"/>
  <c r="L5" i="1" l="1"/>
  <c r="L8" i="1" s="1"/>
</calcChain>
</file>

<file path=xl/sharedStrings.xml><?xml version="1.0" encoding="utf-8"?>
<sst xmlns="http://schemas.openxmlformats.org/spreadsheetml/2006/main" count="173" uniqueCount="72">
  <si>
    <t>Price</t>
  </si>
  <si>
    <t>Shares</t>
  </si>
  <si>
    <t>MC</t>
  </si>
  <si>
    <t>Cash</t>
  </si>
  <si>
    <t>Debt</t>
  </si>
  <si>
    <t>EV</t>
  </si>
  <si>
    <t>(£ mil)</t>
  </si>
  <si>
    <t>Revenue</t>
  </si>
  <si>
    <t>COGS</t>
  </si>
  <si>
    <t>Gross profit</t>
  </si>
  <si>
    <t>S&amp;M</t>
  </si>
  <si>
    <t>G&amp;A</t>
  </si>
  <si>
    <t>Operating expense</t>
  </si>
  <si>
    <t>Operating income</t>
  </si>
  <si>
    <t>Interest expense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</si>
  <si>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</si>
  <si>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</si>
  <si>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</si>
  <si>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</si>
  <si>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</si>
  <si>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</si>
  <si>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</si>
  <si>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</si>
  <si>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</si>
  <si>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FH24</t>
  </si>
  <si>
    <t>FH23</t>
  </si>
  <si>
    <t>FY23</t>
  </si>
  <si>
    <t>FY22</t>
  </si>
  <si>
    <t>Market segment</t>
  </si>
  <si>
    <t>Risk</t>
  </si>
  <si>
    <t>Scientific, Technical &amp; Medical</t>
  </si>
  <si>
    <t>Legal</t>
  </si>
  <si>
    <t>Exhibitions</t>
  </si>
  <si>
    <t>Total</t>
  </si>
  <si>
    <t>Geographic market</t>
  </si>
  <si>
    <t>North America</t>
  </si>
  <si>
    <t>Europe</t>
  </si>
  <si>
    <t>Rest of the World</t>
  </si>
  <si>
    <t>Analysis of Revenue by Type</t>
  </si>
  <si>
    <t>Subscriptions</t>
  </si>
  <si>
    <t>Transactional</t>
  </si>
  <si>
    <t>margin%</t>
  </si>
  <si>
    <t>y/y%</t>
  </si>
  <si>
    <t>H123</t>
  </si>
  <si>
    <t>H124</t>
  </si>
  <si>
    <t>H122</t>
  </si>
  <si>
    <t>H121</t>
  </si>
  <si>
    <t>FY21</t>
  </si>
  <si>
    <t>H120</t>
  </si>
  <si>
    <t>H119</t>
  </si>
  <si>
    <t>H118</t>
  </si>
  <si>
    <t>31-06-19</t>
  </si>
  <si>
    <t>FY20</t>
  </si>
  <si>
    <t>FY2019</t>
  </si>
  <si>
    <t>FY2018</t>
  </si>
  <si>
    <t>(REL)</t>
  </si>
  <si>
    <t>Sement revenue</t>
  </si>
  <si>
    <t>Operating profit</t>
  </si>
  <si>
    <t>Margin</t>
  </si>
  <si>
    <t>Geography</t>
  </si>
  <si>
    <t>Type</t>
  </si>
  <si>
    <t>Format</t>
  </si>
  <si>
    <t>Rest of the world</t>
  </si>
  <si>
    <t>Electronic</t>
  </si>
  <si>
    <t>Face-to-face</t>
  </si>
  <si>
    <t>Subscription</t>
  </si>
  <si>
    <t>Source</t>
  </si>
  <si>
    <t>Exhibitors</t>
  </si>
  <si>
    <t>Visitors and other</t>
  </si>
  <si>
    <t>Print &amp; Face-to-face</t>
  </si>
  <si>
    <t>Category margin</t>
  </si>
  <si>
    <t>Category by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</si>
</sst>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0.0%"/>
    <numFmt numFmtId="166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0" fontId="1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165" fontId="0" fillId="0" borderId="0" xfId="0" applyNumberFormat="1"/>
    <xf numFmtId="165" fontId="0" fillId="0" borderId="5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2" xfId="0" applyNumberFormat="1" applyBorder="1"/>
    <xf numFmtId="165" fontId="0" fillId="0" borderId="3" xfId="0" applyNumberFormat="1" applyBorder="1"/>
    <xf numFmtId="0" fontId="1" fillId="0" borderId="9" xfId="0" applyFon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2" xfId="0" applyNumberFormat="1" applyBorder="1"/>
    <xf numFmtId="3" fontId="0" fillId="0" borderId="7" xfId="0" applyNumberFormat="1" applyBorder="1"/>
    <xf numFmtId="4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9" fontId="0" fillId="0" borderId="0" xfId="0" applyNumberFormat="1" applyBorder="1"/>
    <xf numFmtId="0" fontId="0" fillId="2" borderId="0" xfId="0" applyFill="1" applyBorder="1"/>
    <xf numFmtId="0" fontId="0" fillId="0" borderId="0" xfId="0" applyBorder="1"/>
    <xf numFmtId="3" fontId="0" fillId="0" borderId="0" xfId="0" applyNumberFormat="1" applyBorder="1"/>
    <xf numFmtId="3" fontId="0" fillId="2" borderId="0" xfId="0" applyNumberFormat="1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3" fontId="0" fillId="0" borderId="0" xfId="0" applyNumberFormat="1" applyFill="1"/>
    <xf numFmtId="0" fontId="1" fillId="0" borderId="0" xfId="0" applyFont="1" applyFill="1"/>
    <xf numFmtId="0" fontId="1" fillId="0" borderId="0" xfId="0" applyFont="1"/>
    <xf numFmtId="9" fontId="0" fillId="2" borderId="0" xfId="0" applyNumberFormat="1" applyFill="1" applyBorder="1"/>
    <xf numFmtId="0" fontId="1" fillId="3" borderId="0" xfId="0" applyFont="1" applyFill="1" applyBorder="1"/>
    <xf numFmtId="3" fontId="1" fillId="3" borderId="0" xfId="0" applyNumberFormat="1" applyFont="1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3" fontId="0" fillId="3" borderId="0" xfId="0" applyNumberFormat="1" applyFill="1" applyBorder="1" applyAlignment="1">
      <alignment horizontal="right"/>
    </xf>
    <xf numFmtId="9" fontId="1" fillId="3" borderId="12" xfId="0" applyNumberFormat="1" applyFont="1" applyFill="1" applyBorder="1" applyAlignment="1">
      <alignment horizontal="left"/>
    </xf>
    <xf numFmtId="0" fontId="0" fillId="3" borderId="13" xfId="0" applyFill="1" applyBorder="1"/>
    <xf numFmtId="0" fontId="0" fillId="3" borderId="14" xfId="0" applyFill="1" applyBorder="1"/>
    <xf numFmtId="9" fontId="2" fillId="2" borderId="15" xfId="0" applyNumberFormat="1" applyFont="1" applyFill="1" applyBorder="1" applyAlignment="1">
      <alignment horizontal="left"/>
    </xf>
    <xf numFmtId="0" fontId="0" fillId="2" borderId="16" xfId="0" applyFill="1" applyBorder="1"/>
    <xf numFmtId="9" fontId="0" fillId="0" borderId="15" xfId="0" applyNumberFormat="1" applyBorder="1" applyAlignment="1">
      <alignment horizontal="left"/>
    </xf>
    <xf numFmtId="3" fontId="0" fillId="0" borderId="16" xfId="0" applyNumberFormat="1" applyBorder="1"/>
    <xf numFmtId="9" fontId="1" fillId="3" borderId="15" xfId="0" applyNumberFormat="1" applyFont="1" applyFill="1" applyBorder="1" applyAlignment="1">
      <alignment horizontal="left"/>
    </xf>
    <xf numFmtId="0" fontId="0" fillId="3" borderId="16" xfId="0" applyFill="1" applyBorder="1"/>
    <xf numFmtId="9" fontId="0" fillId="0" borderId="16" xfId="0" applyNumberFormat="1" applyBorder="1"/>
    <xf numFmtId="9" fontId="0" fillId="2" borderId="16" xfId="0" applyNumberFormat="1" applyFill="1" applyBorder="1"/>
    <xf numFmtId="9" fontId="0" fillId="0" borderId="17" xfId="0" applyNumberFormat="1" applyBorder="1" applyAlignment="1">
      <alignment horizontal="left"/>
    </xf>
    <xf numFmtId="9" fontId="0" fillId="0" borderId="18" xfId="0" applyNumberFormat="1" applyBorder="1"/>
    <xf numFmtId="9" fontId="0" fillId="0" borderId="19" xfId="0" applyNumberFormat="1" applyBorder="1"/>
    <xf numFmtId="0" fontId="1" fillId="3" borderId="12" xfId="0" applyFont="1" applyFill="1" applyBorder="1" applyAlignment="1">
      <alignment horizontal="left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3" fontId="0" fillId="0" borderId="15" xfId="0" applyNumberFormat="1" applyBorder="1" applyAlignment="1">
      <alignment horizontal="left"/>
    </xf>
    <xf numFmtId="3" fontId="0" fillId="0" borderId="16" xfId="0" applyNumberFormat="1" applyBorder="1" applyAlignment="1">
      <alignment horizontal="right"/>
    </xf>
    <xf numFmtId="3" fontId="1" fillId="3" borderId="15" xfId="0" applyNumberFormat="1" applyFont="1" applyFill="1" applyBorder="1" applyAlignment="1">
      <alignment horizontal="left"/>
    </xf>
    <xf numFmtId="3" fontId="0" fillId="3" borderId="16" xfId="0" applyNumberFormat="1" applyFill="1" applyBorder="1" applyAlignment="1">
      <alignment horizontal="right"/>
    </xf>
    <xf numFmtId="0" fontId="1" fillId="3" borderId="15" xfId="0" applyFont="1" applyFill="1" applyBorder="1" applyAlignment="1">
      <alignment horizontal="left"/>
    </xf>
    <xf numFmtId="0" fontId="0" fillId="3" borderId="16" xfId="0" applyFill="1" applyBorder="1" applyAlignment="1">
      <alignment horizontal="right"/>
    </xf>
    <xf numFmtId="9" fontId="0" fillId="0" borderId="16" xfId="0" applyNumberFormat="1" applyBorder="1" applyAlignment="1">
      <alignment horizontal="right"/>
    </xf>
    <xf numFmtId="0" fontId="1" fillId="3" borderId="13" xfId="0" applyFont="1" applyFill="1" applyBorder="1"/>
    <xf numFmtId="3" fontId="1" fillId="3" borderId="13" xfId="0" applyNumberFormat="1" applyFont="1" applyFill="1" applyBorder="1"/>
    <xf numFmtId="3" fontId="1" fillId="3" borderId="14" xfId="0" applyNumberFormat="1" applyFont="1" applyFill="1" applyBorder="1"/>
    <xf numFmtId="3" fontId="2" fillId="2" borderId="15" xfId="0" applyNumberFormat="1" applyFont="1" applyFill="1" applyBorder="1" applyAlignment="1">
      <alignment horizontal="left"/>
    </xf>
    <xf numFmtId="3" fontId="0" fillId="2" borderId="16" xfId="0" applyNumberFormat="1" applyFill="1" applyBorder="1"/>
    <xf numFmtId="0" fontId="0" fillId="0" borderId="15" xfId="0" applyBorder="1"/>
    <xf numFmtId="0" fontId="0" fillId="0" borderId="16" xfId="0" applyBorder="1"/>
    <xf numFmtId="3" fontId="1" fillId="3" borderId="16" xfId="0" applyNumberFormat="1" applyFont="1" applyFill="1" applyBorder="1"/>
    <xf numFmtId="3" fontId="0" fillId="0" borderId="17" xfId="0" applyNumberFormat="1" applyBorder="1" applyAlignment="1">
      <alignment horizontal="left"/>
    </xf>
    <xf numFmtId="3" fontId="0" fillId="0" borderId="18" xfId="0" applyNumberFormat="1" applyBorder="1"/>
    <xf numFmtId="3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19050</xdr:rowOff>
    </xdr:from>
    <xdr:to>
      <xdr:col>15</xdr:col>
      <xdr:colOff>0</xdr:colOff>
      <xdr:row>43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D33992-7144-1EC1-E738-CEA6EE62E082}"/>
            </a:ext>
          </a:extLst>
        </xdr:cNvPr>
        <xdr:cNvCxnSpPr/>
      </xdr:nvCxnSpPr>
      <xdr:spPr>
        <a:xfrm>
          <a:off x="6257925" y="19050"/>
          <a:ext cx="0" cy="6315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0</xdr:row>
      <xdr:rowOff>28575</xdr:rowOff>
    </xdr:from>
    <xdr:to>
      <xdr:col>27</xdr:col>
      <xdr:colOff>19050</xdr:colOff>
      <xdr:row>43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827AF77-A545-1991-95D2-FED1F3C84884}"/>
            </a:ext>
          </a:extLst>
        </xdr:cNvPr>
        <xdr:cNvCxnSpPr/>
      </xdr:nvCxnSpPr>
      <xdr:spPr>
        <a:xfrm>
          <a:off x="13592175" y="28575"/>
          <a:ext cx="0" cy="636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38100</xdr:rowOff>
    </xdr:from>
    <xdr:to>
      <xdr:col>15</xdr:col>
      <xdr:colOff>28575</xdr:colOff>
      <xdr:row>115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2D49B42-E6A5-B3F9-DD3A-652DDEE08531}"/>
            </a:ext>
          </a:extLst>
        </xdr:cNvPr>
        <xdr:cNvCxnSpPr/>
      </xdr:nvCxnSpPr>
      <xdr:spPr>
        <a:xfrm>
          <a:off x="10363200" y="38100"/>
          <a:ext cx="0" cy="16211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0</xdr:row>
      <xdr:rowOff>19050</xdr:rowOff>
    </xdr:from>
    <xdr:to>
      <xdr:col>28</xdr:col>
      <xdr:colOff>19050</xdr:colOff>
      <xdr:row>60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147CF8-7201-4AA0-A3C0-E51F8923E82A}"/>
            </a:ext>
          </a:extLst>
        </xdr:cNvPr>
        <xdr:cNvCxnSpPr/>
      </xdr:nvCxnSpPr>
      <xdr:spPr>
        <a:xfrm>
          <a:off x="18278475" y="19050"/>
          <a:ext cx="0" cy="6134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EA9C-D3A9-4D78-B2A4-3F6D6B5733B0}">
  <dimension ref="B1:L19"/>
  <sheetViews>
    <sheetView workbookViewId="0">
      <selection activeCell="K24" sqref="K24"/>
    </sheetView>
  </sheetViews>
  <sheetFormatPr defaultRowHeight="12.75" x14ac:dyDescent="0.2"/>
  <cols>
    <col min="1" max="1" width="3.140625" customWidth="1"/>
    <col min="3" max="3" width="27.5703125" bestFit="1" customWidth="1"/>
  </cols>
  <sheetData>
    <row r="1" spans="2:12" x14ac:dyDescent="0.2">
      <c r="B1" t="s">
        <v>6</v>
      </c>
    </row>
    <row r="2" spans="2:12" x14ac:dyDescent="0.2">
      <c r="D2" s="2" t="s">
        <v>25</v>
      </c>
      <c r="E2" s="2" t="s">
        <v>24</v>
      </c>
    </row>
    <row r="3" spans="2:12" x14ac:dyDescent="0.2">
      <c r="C3" s="19" t="s">
        <v>28</v>
      </c>
      <c r="D3" s="30" t="s">
        <v>7</v>
      </c>
      <c r="E3" s="30"/>
      <c r="F3" s="20" t="s">
        <v>41</v>
      </c>
      <c r="G3" s="21" t="s">
        <v>42</v>
      </c>
      <c r="K3" t="s">
        <v>0</v>
      </c>
      <c r="L3">
        <v>39.270000000000003</v>
      </c>
    </row>
    <row r="4" spans="2:12" x14ac:dyDescent="0.2">
      <c r="C4" s="10" t="s">
        <v>29</v>
      </c>
      <c r="D4" s="22">
        <v>1565</v>
      </c>
      <c r="E4" s="22">
        <v>1623</v>
      </c>
      <c r="F4" s="17">
        <f>+E4/$E$8</f>
        <v>0.34970911441499675</v>
      </c>
      <c r="G4" s="18">
        <f>+E4/D4-1</f>
        <v>3.706070287539931E-2</v>
      </c>
      <c r="K4" t="s">
        <v>1</v>
      </c>
      <c r="L4" s="1">
        <v>1862.9</v>
      </c>
    </row>
    <row r="5" spans="2:12" x14ac:dyDescent="0.2">
      <c r="C5" s="8" t="s">
        <v>30</v>
      </c>
      <c r="D5" s="1">
        <v>1476</v>
      </c>
      <c r="E5" s="1">
        <v>1475</v>
      </c>
      <c r="F5" s="11">
        <f t="shared" ref="F5:F7" si="0">+E5/$E$8</f>
        <v>0.31781943546649427</v>
      </c>
      <c r="G5" s="12">
        <f t="shared" ref="G5:G7" si="1">+E5/D5-1</f>
        <v>-6.7750677506772661E-4</v>
      </c>
      <c r="K5" t="s">
        <v>2</v>
      </c>
      <c r="L5" s="1">
        <f>+L3*L4</f>
        <v>73156.083000000013</v>
      </c>
    </row>
    <row r="6" spans="2:12" x14ac:dyDescent="0.2">
      <c r="C6" s="8" t="s">
        <v>31</v>
      </c>
      <c r="D6" s="1">
        <v>913</v>
      </c>
      <c r="E6" s="1">
        <v>942</v>
      </c>
      <c r="F6" s="11">
        <f t="shared" si="0"/>
        <v>0.20297349709114415</v>
      </c>
      <c r="G6" s="12">
        <f t="shared" si="1"/>
        <v>3.1763417305586072E-2</v>
      </c>
      <c r="K6" t="s">
        <v>3</v>
      </c>
      <c r="L6" s="1">
        <f>140+38</f>
        <v>178</v>
      </c>
    </row>
    <row r="7" spans="2:12" x14ac:dyDescent="0.2">
      <c r="C7" s="9" t="s">
        <v>32</v>
      </c>
      <c r="D7" s="23">
        <v>545</v>
      </c>
      <c r="E7" s="23">
        <v>601</v>
      </c>
      <c r="F7" s="13">
        <f t="shared" si="0"/>
        <v>0.1294979530273648</v>
      </c>
      <c r="G7" s="14">
        <f t="shared" si="1"/>
        <v>0.10275229357798166</v>
      </c>
      <c r="K7" t="s">
        <v>4</v>
      </c>
      <c r="L7" s="1">
        <f>1778+5182</f>
        <v>6960</v>
      </c>
    </row>
    <row r="8" spans="2:12" x14ac:dyDescent="0.2">
      <c r="C8" s="9" t="s">
        <v>33</v>
      </c>
      <c r="D8" s="23">
        <f>+SUM(D4:D7)</f>
        <v>4499</v>
      </c>
      <c r="E8" s="23">
        <f>+SUM(E4:E7)</f>
        <v>4641</v>
      </c>
      <c r="F8" s="13"/>
      <c r="G8" s="14"/>
      <c r="K8" t="s">
        <v>5</v>
      </c>
      <c r="L8" s="1">
        <f>+L5-L6+L7</f>
        <v>79938.083000000013</v>
      </c>
    </row>
    <row r="9" spans="2:12" x14ac:dyDescent="0.2">
      <c r="D9" s="1"/>
      <c r="E9" s="1"/>
      <c r="F9" s="11"/>
      <c r="G9" s="11"/>
      <c r="L9" s="1">
        <v>1895</v>
      </c>
    </row>
    <row r="10" spans="2:12" x14ac:dyDescent="0.2">
      <c r="C10" s="7" t="s">
        <v>34</v>
      </c>
      <c r="D10" s="31" t="s">
        <v>7</v>
      </c>
      <c r="E10" s="31"/>
      <c r="F10" s="15" t="s">
        <v>41</v>
      </c>
      <c r="G10" s="16" t="s">
        <v>42</v>
      </c>
      <c r="L10" s="26">
        <f>+L8/L9</f>
        <v>42.18368496042217</v>
      </c>
    </row>
    <row r="11" spans="2:12" x14ac:dyDescent="0.2">
      <c r="C11" s="10" t="s">
        <v>35</v>
      </c>
      <c r="D11" s="22">
        <v>2701</v>
      </c>
      <c r="E11" s="22">
        <v>2752</v>
      </c>
      <c r="F11" s="17">
        <f>+E11/$E$14</f>
        <v>0.59297565179918121</v>
      </c>
      <c r="G11" s="18">
        <f>+E11/D11-1</f>
        <v>1.8881895594224263E-2</v>
      </c>
    </row>
    <row r="12" spans="2:12" x14ac:dyDescent="0.2">
      <c r="C12" s="8" t="s">
        <v>36</v>
      </c>
      <c r="D12" s="1">
        <v>911</v>
      </c>
      <c r="E12" s="1">
        <v>958</v>
      </c>
      <c r="F12" s="11">
        <f t="shared" ref="F12:F13" si="2">+E12/$E$14</f>
        <v>0.2064210299504417</v>
      </c>
      <c r="G12" s="12">
        <f t="shared" ref="G12:G13" si="3">+E12/D12-1</f>
        <v>5.1591657519209688E-2</v>
      </c>
    </row>
    <row r="13" spans="2:12" x14ac:dyDescent="0.2">
      <c r="C13" s="9" t="s">
        <v>37</v>
      </c>
      <c r="D13" s="23">
        <v>887</v>
      </c>
      <c r="E13" s="23">
        <v>931</v>
      </c>
      <c r="F13" s="13">
        <f t="shared" si="2"/>
        <v>0.20060331825037708</v>
      </c>
      <c r="G13" s="14">
        <f t="shared" si="3"/>
        <v>4.9605411499436203E-2</v>
      </c>
    </row>
    <row r="14" spans="2:12" x14ac:dyDescent="0.2">
      <c r="C14" s="9" t="s">
        <v>33</v>
      </c>
      <c r="D14" s="23">
        <f>+SUM(D11:D13)</f>
        <v>4499</v>
      </c>
      <c r="E14" s="23">
        <f>+SUM(E11:E13)</f>
        <v>4641</v>
      </c>
      <c r="F14" s="13"/>
      <c r="G14" s="14"/>
    </row>
    <row r="15" spans="2:12" x14ac:dyDescent="0.2">
      <c r="D15" s="1"/>
      <c r="E15" s="1"/>
      <c r="F15" s="11"/>
      <c r="G15" s="11"/>
    </row>
    <row r="16" spans="2:12" x14ac:dyDescent="0.2">
      <c r="C16" s="7" t="s">
        <v>38</v>
      </c>
      <c r="D16" s="31" t="s">
        <v>7</v>
      </c>
      <c r="E16" s="31"/>
      <c r="F16" s="15" t="s">
        <v>41</v>
      </c>
      <c r="G16" s="16" t="s">
        <v>42</v>
      </c>
    </row>
    <row r="17" spans="3:7" x14ac:dyDescent="0.2">
      <c r="C17" s="10" t="s">
        <v>39</v>
      </c>
      <c r="D17" s="22">
        <v>2455</v>
      </c>
      <c r="E17" s="22">
        <v>2491</v>
      </c>
      <c r="F17" s="17">
        <f>+E17/$E$19</f>
        <v>0.53673777203188966</v>
      </c>
      <c r="G17" s="18">
        <f>+E17/D17-1</f>
        <v>1.4663951120162944E-2</v>
      </c>
    </row>
    <row r="18" spans="3:7" x14ac:dyDescent="0.2">
      <c r="C18" s="9" t="s">
        <v>40</v>
      </c>
      <c r="D18" s="23">
        <v>2044</v>
      </c>
      <c r="E18" s="23">
        <v>2150</v>
      </c>
      <c r="F18" s="13">
        <f>+E18/$E$19</f>
        <v>0.46326222796811034</v>
      </c>
      <c r="G18" s="14">
        <f>+E18/D18-1</f>
        <v>5.1859099804305364E-2</v>
      </c>
    </row>
    <row r="19" spans="3:7" x14ac:dyDescent="0.2">
      <c r="C19" s="9" t="s">
        <v>33</v>
      </c>
      <c r="D19" s="23">
        <f>+SUM(D17:D18)</f>
        <v>4499</v>
      </c>
      <c r="E19" s="23">
        <f>+SUM(E17:E18)</f>
        <v>4641</v>
      </c>
      <c r="F19" s="13"/>
      <c r="G19" s="14"/>
    </row>
  </sheetData>
  <mergeCells count="3">
    <mergeCell ref="D3:E3"/>
    <mergeCell ref="D10:E10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5631-6D81-4310-85C9-FE0D6D677EF1}">
  <dimension ref="B1:AR26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N3" sqref="N3"/>
    </sheetView>
  </sheetViews>
  <sheetFormatPr defaultRowHeight="12.75" x14ac:dyDescent="0.2"/>
  <cols>
    <col min="1" max="1" width="4" style="1" customWidth="1"/>
    <col min="2" max="2" width="17" style="1" customWidth="1"/>
    <col min="3" max="8" width="9.140625" style="1" customWidth="1"/>
    <col min="9" max="16384" width="9.140625" style="1"/>
  </cols>
  <sheetData>
    <row r="1" spans="2:44" s="3" customFormat="1" x14ac:dyDescent="0.2">
      <c r="B1" s="3" t="s">
        <v>6</v>
      </c>
      <c r="C1" s="25">
        <v>43281</v>
      </c>
      <c r="D1" s="25">
        <v>43465</v>
      </c>
      <c r="E1" s="25" t="s">
        <v>51</v>
      </c>
      <c r="F1" s="25">
        <v>43830</v>
      </c>
      <c r="G1" s="3">
        <v>44012</v>
      </c>
      <c r="H1" s="3">
        <v>44196</v>
      </c>
      <c r="I1" s="3">
        <v>44377</v>
      </c>
      <c r="J1" s="3">
        <v>44561</v>
      </c>
      <c r="K1" s="3">
        <v>44742</v>
      </c>
      <c r="L1" s="3">
        <v>44926</v>
      </c>
      <c r="M1" s="3">
        <v>45107</v>
      </c>
      <c r="N1" s="3">
        <v>45291</v>
      </c>
      <c r="O1" s="3">
        <v>45473</v>
      </c>
      <c r="R1" s="3">
        <v>45291</v>
      </c>
      <c r="S1" s="3">
        <v>45291</v>
      </c>
      <c r="T1" s="3">
        <v>45291</v>
      </c>
      <c r="U1" s="3">
        <v>45291</v>
      </c>
      <c r="V1" s="3">
        <v>45291</v>
      </c>
      <c r="W1" s="3">
        <v>45291</v>
      </c>
      <c r="X1" s="3">
        <v>45291</v>
      </c>
      <c r="Y1" s="3">
        <v>45291</v>
      </c>
      <c r="Z1" s="3">
        <v>45291</v>
      </c>
      <c r="AA1" s="3">
        <v>45291</v>
      </c>
    </row>
    <row r="2" spans="2:44" s="2" customFormat="1" x14ac:dyDescent="0.2">
      <c r="B2" s="27" t="s">
        <v>55</v>
      </c>
      <c r="C2" s="2" t="s">
        <v>50</v>
      </c>
      <c r="D2" s="2" t="s">
        <v>54</v>
      </c>
      <c r="E2" s="2" t="s">
        <v>49</v>
      </c>
      <c r="F2" s="2" t="s">
        <v>53</v>
      </c>
      <c r="G2" s="2" t="s">
        <v>48</v>
      </c>
      <c r="H2" s="2" t="s">
        <v>52</v>
      </c>
      <c r="I2" s="2" t="s">
        <v>46</v>
      </c>
      <c r="J2" s="2" t="s">
        <v>47</v>
      </c>
      <c r="K2" s="2" t="s">
        <v>45</v>
      </c>
      <c r="L2" s="2" t="s">
        <v>27</v>
      </c>
      <c r="M2" s="2" t="s">
        <v>43</v>
      </c>
      <c r="N2" s="2" t="s">
        <v>26</v>
      </c>
      <c r="O2" s="2" t="s">
        <v>44</v>
      </c>
      <c r="R2">
        <v>2014</v>
      </c>
      <c r="S2">
        <f>+R2+1</f>
        <v>2015</v>
      </c>
      <c r="T2">
        <f t="shared" ref="T2:AR2" si="0">+S2+1</f>
        <v>2016</v>
      </c>
      <c r="U2">
        <f t="shared" si="0"/>
        <v>2017</v>
      </c>
      <c r="V2">
        <f t="shared" si="0"/>
        <v>2018</v>
      </c>
      <c r="W2">
        <f t="shared" si="0"/>
        <v>2019</v>
      </c>
      <c r="X2">
        <f t="shared" si="0"/>
        <v>2020</v>
      </c>
      <c r="Y2">
        <f t="shared" si="0"/>
        <v>2021</v>
      </c>
      <c r="Z2">
        <f t="shared" si="0"/>
        <v>2022</v>
      </c>
      <c r="AA2">
        <f t="shared" si="0"/>
        <v>2023</v>
      </c>
      <c r="AB2">
        <f t="shared" si="0"/>
        <v>2024</v>
      </c>
      <c r="AC2">
        <f t="shared" si="0"/>
        <v>2025</v>
      </c>
      <c r="AD2">
        <f t="shared" si="0"/>
        <v>2026</v>
      </c>
      <c r="AE2">
        <f t="shared" si="0"/>
        <v>2027</v>
      </c>
      <c r="AF2">
        <f t="shared" si="0"/>
        <v>2028</v>
      </c>
      <c r="AG2">
        <f t="shared" si="0"/>
        <v>2029</v>
      </c>
      <c r="AH2">
        <f t="shared" si="0"/>
        <v>2030</v>
      </c>
      <c r="AI2">
        <f t="shared" si="0"/>
        <v>2031</v>
      </c>
      <c r="AJ2">
        <f t="shared" si="0"/>
        <v>2032</v>
      </c>
      <c r="AK2">
        <f t="shared" si="0"/>
        <v>2033</v>
      </c>
      <c r="AL2">
        <f t="shared" si="0"/>
        <v>2034</v>
      </c>
      <c r="AM2">
        <f t="shared" si="0"/>
        <v>2035</v>
      </c>
      <c r="AN2">
        <f t="shared" si="0"/>
        <v>2036</v>
      </c>
      <c r="AO2">
        <f t="shared" si="0"/>
        <v>2037</v>
      </c>
      <c r="AP2">
        <f t="shared" si="0"/>
        <v>2038</v>
      </c>
      <c r="AQ2">
        <f t="shared" si="0"/>
        <v>2039</v>
      </c>
      <c r="AR2">
        <f t="shared" si="0"/>
        <v>2040</v>
      </c>
    </row>
    <row r="3" spans="2:44" s="2" customFormat="1" x14ac:dyDescent="0.2">
      <c r="B3" s="27" t="s">
        <v>29</v>
      </c>
      <c r="C3" s="2">
        <v>1193</v>
      </c>
      <c r="E3" s="2">
        <v>1244</v>
      </c>
      <c r="G3" s="2">
        <v>1209</v>
      </c>
      <c r="I3" s="2">
        <v>1228</v>
      </c>
      <c r="K3" s="2">
        <v>1387</v>
      </c>
      <c r="M3" s="2">
        <v>1565</v>
      </c>
      <c r="O3" s="2">
        <v>1623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s="2" customFormat="1" x14ac:dyDescent="0.2">
      <c r="B4" s="27" t="s">
        <v>30</v>
      </c>
      <c r="C4" s="2">
        <v>1020</v>
      </c>
      <c r="E4" s="2">
        <v>1149</v>
      </c>
      <c r="G4" s="2">
        <v>1276</v>
      </c>
      <c r="I4" s="2">
        <v>1264</v>
      </c>
      <c r="K4" s="2">
        <v>1346</v>
      </c>
      <c r="M4" s="2">
        <v>1476</v>
      </c>
      <c r="O4" s="2">
        <v>1475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2:44" s="2" customFormat="1" x14ac:dyDescent="0.2">
      <c r="B5" s="27" t="s">
        <v>31</v>
      </c>
      <c r="C5" s="2">
        <v>783</v>
      </c>
      <c r="E5" s="2">
        <v>811</v>
      </c>
      <c r="G5" s="2">
        <v>815</v>
      </c>
      <c r="I5" s="2">
        <v>781</v>
      </c>
      <c r="K5" s="2">
        <v>842</v>
      </c>
      <c r="M5" s="2">
        <v>913</v>
      </c>
      <c r="O5" s="2">
        <v>942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2:44" s="2" customFormat="1" x14ac:dyDescent="0.2">
      <c r="B6" s="27" t="s">
        <v>32</v>
      </c>
      <c r="C6" s="2">
        <v>657</v>
      </c>
      <c r="E6" s="2">
        <v>684</v>
      </c>
      <c r="G6" s="2">
        <v>201</v>
      </c>
      <c r="I6" s="2">
        <v>121</v>
      </c>
      <c r="K6" s="2">
        <v>394</v>
      </c>
      <c r="M6" s="2">
        <v>545</v>
      </c>
      <c r="O6" s="2">
        <v>601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2:44" s="4" customFormat="1" x14ac:dyDescent="0.2">
      <c r="B7" s="4" t="s">
        <v>7</v>
      </c>
      <c r="C7" s="4">
        <v>3653</v>
      </c>
      <c r="D7" s="4">
        <f>+V7-C7</f>
        <v>3839</v>
      </c>
      <c r="E7" s="4">
        <v>3888</v>
      </c>
      <c r="F7" s="4">
        <f>+W7-E7</f>
        <v>3986</v>
      </c>
      <c r="G7" s="4">
        <v>3501</v>
      </c>
      <c r="H7" s="4">
        <f>+X7-G7</f>
        <v>3609</v>
      </c>
      <c r="I7" s="4">
        <v>3394</v>
      </c>
      <c r="J7" s="4">
        <f>+Y7-I7</f>
        <v>3850</v>
      </c>
      <c r="K7" s="4">
        <v>3969</v>
      </c>
      <c r="L7" s="4">
        <f>+Z7-K7</f>
        <v>4584</v>
      </c>
      <c r="M7" s="4">
        <v>4499</v>
      </c>
      <c r="N7" s="4">
        <f>+AA7-M7</f>
        <v>4662</v>
      </c>
      <c r="O7" s="4">
        <v>4641</v>
      </c>
      <c r="R7" s="4">
        <v>5773</v>
      </c>
      <c r="S7" s="4">
        <v>5971</v>
      </c>
      <c r="T7" s="4">
        <v>6895</v>
      </c>
      <c r="U7" s="4">
        <v>7355</v>
      </c>
      <c r="V7" s="4">
        <v>7492</v>
      </c>
      <c r="W7" s="4">
        <v>7874</v>
      </c>
      <c r="X7" s="4">
        <v>7110</v>
      </c>
      <c r="Y7" s="4">
        <v>7244</v>
      </c>
      <c r="Z7" s="4">
        <v>8553</v>
      </c>
      <c r="AA7" s="4">
        <v>9161</v>
      </c>
    </row>
    <row r="8" spans="2:44" x14ac:dyDescent="0.2">
      <c r="B8" s="1" t="s">
        <v>8</v>
      </c>
      <c r="C8" s="1">
        <v>1299</v>
      </c>
      <c r="D8" s="1">
        <f>+V8-C8</f>
        <v>1345</v>
      </c>
      <c r="E8" s="1">
        <v>1366</v>
      </c>
      <c r="F8" s="1">
        <f>+W8-E8</f>
        <v>1389</v>
      </c>
      <c r="G8" s="1">
        <v>1253</v>
      </c>
      <c r="H8" s="1">
        <f>+X8-G8</f>
        <v>1234</v>
      </c>
      <c r="I8" s="1">
        <v>1171</v>
      </c>
      <c r="J8" s="1">
        <f>+Y8-I8</f>
        <v>1391</v>
      </c>
      <c r="K8" s="1">
        <v>1404</v>
      </c>
      <c r="L8" s="1">
        <f>+Z8-K8</f>
        <v>1641</v>
      </c>
      <c r="M8" s="1">
        <v>1598</v>
      </c>
      <c r="N8" s="1">
        <f>+AA8-M8</f>
        <v>1618</v>
      </c>
      <c r="O8" s="1">
        <v>1609</v>
      </c>
      <c r="R8" s="1">
        <v>2006</v>
      </c>
      <c r="S8" s="1">
        <v>2129</v>
      </c>
      <c r="T8" s="1">
        <v>2488</v>
      </c>
      <c r="U8" s="1">
        <v>2631</v>
      </c>
      <c r="V8" s="1">
        <v>2644</v>
      </c>
      <c r="W8" s="1">
        <v>2755</v>
      </c>
      <c r="X8" s="1">
        <v>2487</v>
      </c>
      <c r="Y8" s="1">
        <v>2562</v>
      </c>
      <c r="Z8" s="1">
        <v>3045</v>
      </c>
      <c r="AA8" s="1">
        <v>3216</v>
      </c>
    </row>
    <row r="9" spans="2:44" x14ac:dyDescent="0.2">
      <c r="B9" s="1" t="s">
        <v>9</v>
      </c>
      <c r="C9" s="1">
        <f t="shared" ref="C9:O9" si="1">+C7-C8</f>
        <v>2354</v>
      </c>
      <c r="D9" s="1">
        <f t="shared" si="1"/>
        <v>2494</v>
      </c>
      <c r="E9" s="1">
        <f t="shared" si="1"/>
        <v>2522</v>
      </c>
      <c r="F9" s="1">
        <f t="shared" si="1"/>
        <v>2597</v>
      </c>
      <c r="G9" s="1">
        <f t="shared" si="1"/>
        <v>2248</v>
      </c>
      <c r="H9" s="1">
        <f t="shared" si="1"/>
        <v>2375</v>
      </c>
      <c r="I9" s="1">
        <f t="shared" si="1"/>
        <v>2223</v>
      </c>
      <c r="J9" s="1">
        <f t="shared" si="1"/>
        <v>2459</v>
      </c>
      <c r="K9" s="1">
        <f t="shared" si="1"/>
        <v>2565</v>
      </c>
      <c r="L9" s="1">
        <f t="shared" si="1"/>
        <v>2943</v>
      </c>
      <c r="M9" s="1">
        <f t="shared" si="1"/>
        <v>2901</v>
      </c>
      <c r="N9" s="1">
        <f t="shared" si="1"/>
        <v>3044</v>
      </c>
      <c r="O9" s="1">
        <f t="shared" si="1"/>
        <v>3032</v>
      </c>
      <c r="R9" s="1">
        <f t="shared" ref="R9:AA9" si="2">+R7-R8</f>
        <v>3767</v>
      </c>
      <c r="S9" s="1">
        <f t="shared" si="2"/>
        <v>3842</v>
      </c>
      <c r="T9" s="1">
        <f t="shared" si="2"/>
        <v>4407</v>
      </c>
      <c r="U9" s="1">
        <f t="shared" si="2"/>
        <v>4724</v>
      </c>
      <c r="V9" s="1">
        <f t="shared" si="2"/>
        <v>4848</v>
      </c>
      <c r="W9" s="1">
        <f t="shared" si="2"/>
        <v>5119</v>
      </c>
      <c r="X9" s="1">
        <f t="shared" si="2"/>
        <v>4623</v>
      </c>
      <c r="Y9" s="1">
        <f t="shared" si="2"/>
        <v>4682</v>
      </c>
      <c r="Z9" s="1">
        <f t="shared" si="2"/>
        <v>5508</v>
      </c>
      <c r="AA9" s="1">
        <f t="shared" si="2"/>
        <v>5945</v>
      </c>
    </row>
    <row r="10" spans="2:44" x14ac:dyDescent="0.2">
      <c r="B10" s="1" t="s">
        <v>10</v>
      </c>
      <c r="C10" s="1">
        <v>583</v>
      </c>
      <c r="D10" s="1">
        <f>+V10-C10</f>
        <v>608</v>
      </c>
      <c r="E10" s="1">
        <v>625</v>
      </c>
      <c r="F10" s="1">
        <f>+W10-E10</f>
        <v>667</v>
      </c>
      <c r="G10" s="1">
        <v>621</v>
      </c>
      <c r="H10" s="1">
        <f>+X10-G10</f>
        <v>591</v>
      </c>
      <c r="I10" s="1">
        <v>552</v>
      </c>
      <c r="J10" s="1">
        <f>+Y10-I10</f>
        <v>645</v>
      </c>
      <c r="K10" s="1">
        <v>642</v>
      </c>
      <c r="L10" s="1">
        <f>+Z10-K10</f>
        <v>743</v>
      </c>
      <c r="M10" s="1">
        <v>718</v>
      </c>
      <c r="N10" s="1">
        <f>+AA10-M10</f>
        <v>741</v>
      </c>
      <c r="O10" s="1">
        <v>715</v>
      </c>
      <c r="R10" s="1">
        <v>934</v>
      </c>
      <c r="S10" s="1">
        <v>965</v>
      </c>
      <c r="T10" s="1">
        <v>1109</v>
      </c>
      <c r="U10" s="1">
        <v>1163</v>
      </c>
      <c r="V10" s="1">
        <v>1191</v>
      </c>
      <c r="W10" s="1">
        <v>1292</v>
      </c>
      <c r="X10" s="1">
        <v>1212</v>
      </c>
      <c r="Y10" s="1">
        <v>1197</v>
      </c>
      <c r="Z10" s="1">
        <v>1385</v>
      </c>
      <c r="AA10" s="1">
        <v>1459</v>
      </c>
    </row>
    <row r="11" spans="2:44" x14ac:dyDescent="0.2">
      <c r="B11" s="1" t="s">
        <v>11</v>
      </c>
      <c r="C11" s="1">
        <v>821</v>
      </c>
      <c r="D11" s="1">
        <f>+V11-C11</f>
        <v>904</v>
      </c>
      <c r="E11" s="1">
        <v>871</v>
      </c>
      <c r="F11" s="1">
        <f>+W11-E11</f>
        <v>896</v>
      </c>
      <c r="G11" s="1">
        <v>886</v>
      </c>
      <c r="H11" s="1">
        <f>+X11-G11</f>
        <v>1015</v>
      </c>
      <c r="I11" s="1">
        <v>825</v>
      </c>
      <c r="J11" s="1">
        <f>+Y11-I11</f>
        <v>805</v>
      </c>
      <c r="K11" s="1">
        <v>845</v>
      </c>
      <c r="L11" s="1">
        <f>+Z11-K11</f>
        <v>974</v>
      </c>
      <c r="M11" s="1">
        <v>902</v>
      </c>
      <c r="N11" s="1">
        <f>+AA11-M11</f>
        <v>948</v>
      </c>
      <c r="O11" s="1">
        <v>912</v>
      </c>
      <c r="R11" s="1">
        <v>1467</v>
      </c>
      <c r="S11" s="1">
        <v>1444</v>
      </c>
      <c r="T11" s="1">
        <v>1627</v>
      </c>
      <c r="U11" s="1">
        <v>1693</v>
      </c>
      <c r="V11" s="1">
        <v>1725</v>
      </c>
      <c r="W11" s="1">
        <v>1767</v>
      </c>
      <c r="X11" s="1">
        <v>1901</v>
      </c>
      <c r="Y11" s="1">
        <v>1630</v>
      </c>
      <c r="Z11" s="1">
        <v>1819</v>
      </c>
      <c r="AA11" s="1">
        <v>1850</v>
      </c>
    </row>
    <row r="12" spans="2:44" x14ac:dyDescent="0.2">
      <c r="B12" s="1" t="s">
        <v>12</v>
      </c>
      <c r="C12" s="1">
        <f t="shared" ref="C12:O12" si="3">+SUM(C10:C11)</f>
        <v>1404</v>
      </c>
      <c r="D12" s="1">
        <f t="shared" si="3"/>
        <v>1512</v>
      </c>
      <c r="E12" s="1">
        <f t="shared" si="3"/>
        <v>1496</v>
      </c>
      <c r="F12" s="1">
        <f t="shared" si="3"/>
        <v>1563</v>
      </c>
      <c r="G12" s="1">
        <f t="shared" si="3"/>
        <v>1507</v>
      </c>
      <c r="H12" s="1">
        <f t="shared" si="3"/>
        <v>1606</v>
      </c>
      <c r="I12" s="1">
        <f t="shared" si="3"/>
        <v>1377</v>
      </c>
      <c r="J12" s="1">
        <f t="shared" si="3"/>
        <v>1450</v>
      </c>
      <c r="K12" s="1">
        <f t="shared" si="3"/>
        <v>1487</v>
      </c>
      <c r="L12" s="1">
        <f t="shared" si="3"/>
        <v>1717</v>
      </c>
      <c r="M12" s="1">
        <f t="shared" si="3"/>
        <v>1620</v>
      </c>
      <c r="N12" s="1">
        <f t="shared" si="3"/>
        <v>1689</v>
      </c>
      <c r="O12" s="1">
        <f t="shared" si="3"/>
        <v>1627</v>
      </c>
      <c r="R12" s="1">
        <f t="shared" ref="R12:AA12" si="4">+SUM(R10:R11)</f>
        <v>2401</v>
      </c>
      <c r="S12" s="1">
        <f t="shared" si="4"/>
        <v>2409</v>
      </c>
      <c r="T12" s="1">
        <f t="shared" si="4"/>
        <v>2736</v>
      </c>
      <c r="U12" s="1">
        <f t="shared" si="4"/>
        <v>2856</v>
      </c>
      <c r="V12" s="1">
        <f t="shared" si="4"/>
        <v>2916</v>
      </c>
      <c r="W12" s="1">
        <f t="shared" si="4"/>
        <v>3059</v>
      </c>
      <c r="X12" s="1">
        <f t="shared" si="4"/>
        <v>3113</v>
      </c>
      <c r="Y12" s="1">
        <f t="shared" si="4"/>
        <v>2827</v>
      </c>
      <c r="Z12" s="1">
        <f t="shared" si="4"/>
        <v>3204</v>
      </c>
      <c r="AA12" s="1">
        <f t="shared" si="4"/>
        <v>3309</v>
      </c>
    </row>
    <row r="13" spans="2:44" x14ac:dyDescent="0.2">
      <c r="B13" s="1" t="s">
        <v>13</v>
      </c>
      <c r="C13" s="1">
        <f t="shared" ref="C13:O13" si="5">+C9-C12</f>
        <v>950</v>
      </c>
      <c r="D13" s="1">
        <f t="shared" si="5"/>
        <v>982</v>
      </c>
      <c r="E13" s="1">
        <f t="shared" si="5"/>
        <v>1026</v>
      </c>
      <c r="F13" s="1">
        <f t="shared" si="5"/>
        <v>1034</v>
      </c>
      <c r="G13" s="1">
        <f t="shared" si="5"/>
        <v>741</v>
      </c>
      <c r="H13" s="1">
        <f t="shared" si="5"/>
        <v>769</v>
      </c>
      <c r="I13" s="1">
        <f t="shared" si="5"/>
        <v>846</v>
      </c>
      <c r="J13" s="1">
        <f t="shared" si="5"/>
        <v>1009</v>
      </c>
      <c r="K13" s="1">
        <f t="shared" si="5"/>
        <v>1078</v>
      </c>
      <c r="L13" s="1">
        <f t="shared" si="5"/>
        <v>1226</v>
      </c>
      <c r="M13" s="1">
        <f t="shared" si="5"/>
        <v>1281</v>
      </c>
      <c r="N13" s="1">
        <f t="shared" si="5"/>
        <v>1355</v>
      </c>
      <c r="O13" s="1">
        <f t="shared" si="5"/>
        <v>1405</v>
      </c>
      <c r="R13" s="1">
        <f t="shared" ref="R13:AA13" si="6">+R9-R12</f>
        <v>1366</v>
      </c>
      <c r="S13" s="1">
        <f t="shared" si="6"/>
        <v>1433</v>
      </c>
      <c r="T13" s="1">
        <f t="shared" si="6"/>
        <v>1671</v>
      </c>
      <c r="U13" s="1">
        <f t="shared" si="6"/>
        <v>1868</v>
      </c>
      <c r="V13" s="1">
        <f t="shared" si="6"/>
        <v>1932</v>
      </c>
      <c r="W13" s="1">
        <f t="shared" si="6"/>
        <v>2060</v>
      </c>
      <c r="X13" s="1">
        <f t="shared" si="6"/>
        <v>1510</v>
      </c>
      <c r="Y13" s="1">
        <f t="shared" si="6"/>
        <v>1855</v>
      </c>
      <c r="Z13" s="1">
        <f t="shared" si="6"/>
        <v>2304</v>
      </c>
      <c r="AA13" s="1">
        <f t="shared" si="6"/>
        <v>2636</v>
      </c>
    </row>
    <row r="14" spans="2:44" x14ac:dyDescent="0.2">
      <c r="B14" s="1" t="s">
        <v>14</v>
      </c>
      <c r="C14" s="1">
        <v>-100</v>
      </c>
      <c r="D14" s="1">
        <f>+V14-C14</f>
        <v>-111</v>
      </c>
      <c r="E14" s="1">
        <v>-103</v>
      </c>
      <c r="F14" s="1">
        <f>+W14-E14</f>
        <v>-202</v>
      </c>
      <c r="G14" s="1">
        <v>-87</v>
      </c>
      <c r="H14" s="1">
        <f>+X14-G14</f>
        <v>-85</v>
      </c>
      <c r="I14" s="1">
        <v>-74</v>
      </c>
      <c r="J14" s="1">
        <f>+Y14-I14</f>
        <v>-68</v>
      </c>
      <c r="K14" s="1">
        <v>-78</v>
      </c>
      <c r="L14" s="1">
        <f>+Z14-K14</f>
        <v>-127</v>
      </c>
      <c r="M14" s="1">
        <v>-136</v>
      </c>
      <c r="N14" s="1">
        <f>+AA14-M14</f>
        <v>-179</v>
      </c>
      <c r="O14" s="1">
        <f>4-138</f>
        <v>-134</v>
      </c>
      <c r="R14" s="1">
        <v>-162</v>
      </c>
      <c r="S14" s="1">
        <v>-174</v>
      </c>
      <c r="T14" s="1">
        <v>-195</v>
      </c>
      <c r="U14" s="1">
        <v>-182</v>
      </c>
      <c r="V14" s="1">
        <v>-211</v>
      </c>
      <c r="W14" s="1">
        <v>-305</v>
      </c>
      <c r="X14" s="1">
        <v>-172</v>
      </c>
      <c r="Y14" s="1">
        <v>-142</v>
      </c>
      <c r="Z14" s="1">
        <v>-205</v>
      </c>
      <c r="AA14" s="1">
        <v>-315</v>
      </c>
    </row>
    <row r="15" spans="2:44" x14ac:dyDescent="0.2">
      <c r="B15" s="1" t="s">
        <v>15</v>
      </c>
      <c r="C15" s="1">
        <f t="shared" ref="C15:O15" si="7">+C13+C14</f>
        <v>850</v>
      </c>
      <c r="D15" s="1">
        <f t="shared" si="7"/>
        <v>871</v>
      </c>
      <c r="E15" s="1">
        <f t="shared" si="7"/>
        <v>923</v>
      </c>
      <c r="F15" s="1">
        <f t="shared" si="7"/>
        <v>832</v>
      </c>
      <c r="G15" s="1">
        <f t="shared" si="7"/>
        <v>654</v>
      </c>
      <c r="H15" s="1">
        <f t="shared" si="7"/>
        <v>684</v>
      </c>
      <c r="I15" s="1">
        <f t="shared" si="7"/>
        <v>772</v>
      </c>
      <c r="J15" s="1">
        <f t="shared" si="7"/>
        <v>941</v>
      </c>
      <c r="K15" s="1">
        <f t="shared" si="7"/>
        <v>1000</v>
      </c>
      <c r="L15" s="1">
        <f t="shared" si="7"/>
        <v>1099</v>
      </c>
      <c r="M15" s="1">
        <f t="shared" si="7"/>
        <v>1145</v>
      </c>
      <c r="N15" s="1">
        <f t="shared" si="7"/>
        <v>1176</v>
      </c>
      <c r="O15" s="1">
        <f t="shared" si="7"/>
        <v>1271</v>
      </c>
      <c r="R15" s="1">
        <f t="shared" ref="R15:AA15" si="8">+R13+R14</f>
        <v>1204</v>
      </c>
      <c r="S15" s="1">
        <f t="shared" si="8"/>
        <v>1259</v>
      </c>
      <c r="T15" s="1">
        <f t="shared" si="8"/>
        <v>1476</v>
      </c>
      <c r="U15" s="1">
        <f t="shared" si="8"/>
        <v>1686</v>
      </c>
      <c r="V15" s="1">
        <f t="shared" si="8"/>
        <v>1721</v>
      </c>
      <c r="W15" s="1">
        <f t="shared" si="8"/>
        <v>1755</v>
      </c>
      <c r="X15" s="1">
        <f t="shared" si="8"/>
        <v>1338</v>
      </c>
      <c r="Y15" s="1">
        <f t="shared" si="8"/>
        <v>1713</v>
      </c>
      <c r="Z15" s="1">
        <f t="shared" si="8"/>
        <v>2099</v>
      </c>
      <c r="AA15" s="1">
        <f t="shared" si="8"/>
        <v>2321</v>
      </c>
    </row>
    <row r="16" spans="2:44" x14ac:dyDescent="0.2">
      <c r="B16" s="1" t="s">
        <v>16</v>
      </c>
      <c r="C16" s="1">
        <v>192</v>
      </c>
      <c r="D16" s="1">
        <f>+V16-C16</f>
        <v>100</v>
      </c>
      <c r="E16" s="1">
        <v>223</v>
      </c>
      <c r="F16" s="1">
        <f>+W16-E16</f>
        <v>-561</v>
      </c>
      <c r="G16" s="1">
        <v>124</v>
      </c>
      <c r="H16" s="1">
        <f>+X16-G16</f>
        <v>151</v>
      </c>
      <c r="I16" s="1">
        <v>164</v>
      </c>
      <c r="J16" s="1">
        <f>+Y16-I16</f>
        <v>162</v>
      </c>
      <c r="K16" s="1">
        <v>238</v>
      </c>
      <c r="L16" s="1">
        <f>+Z16-K16</f>
        <v>243</v>
      </c>
      <c r="M16" s="1">
        <v>264</v>
      </c>
      <c r="N16" s="1">
        <f>+AA16-M16</f>
        <v>243</v>
      </c>
      <c r="O16" s="1">
        <v>309</v>
      </c>
      <c r="R16" s="1">
        <v>269</v>
      </c>
      <c r="S16" s="1">
        <v>298</v>
      </c>
      <c r="T16" s="1">
        <v>304</v>
      </c>
      <c r="U16" s="1">
        <v>-67</v>
      </c>
      <c r="V16" s="1">
        <v>292</v>
      </c>
      <c r="W16" s="1">
        <v>-338</v>
      </c>
      <c r="X16" s="1">
        <v>275</v>
      </c>
      <c r="Y16" s="1">
        <v>326</v>
      </c>
      <c r="Z16" s="1">
        <v>481</v>
      </c>
      <c r="AA16" s="1">
        <v>507</v>
      </c>
    </row>
    <row r="17" spans="2:27" x14ac:dyDescent="0.2">
      <c r="B17" s="1" t="s">
        <v>17</v>
      </c>
      <c r="C17" s="1">
        <f t="shared" ref="C17:O17" si="9">+C15-C16</f>
        <v>658</v>
      </c>
      <c r="D17" s="1">
        <f t="shared" si="9"/>
        <v>771</v>
      </c>
      <c r="E17" s="1">
        <f t="shared" si="9"/>
        <v>700</v>
      </c>
      <c r="F17" s="1">
        <f t="shared" si="9"/>
        <v>1393</v>
      </c>
      <c r="G17" s="1">
        <f t="shared" si="9"/>
        <v>530</v>
      </c>
      <c r="H17" s="1">
        <f t="shared" si="9"/>
        <v>533</v>
      </c>
      <c r="I17" s="1">
        <f t="shared" si="9"/>
        <v>608</v>
      </c>
      <c r="J17" s="1">
        <f t="shared" si="9"/>
        <v>779</v>
      </c>
      <c r="K17" s="1">
        <f t="shared" si="9"/>
        <v>762</v>
      </c>
      <c r="L17" s="1">
        <f t="shared" si="9"/>
        <v>856</v>
      </c>
      <c r="M17" s="1">
        <f t="shared" si="9"/>
        <v>881</v>
      </c>
      <c r="N17" s="1">
        <f t="shared" si="9"/>
        <v>933</v>
      </c>
      <c r="O17" s="1">
        <f t="shared" si="9"/>
        <v>962</v>
      </c>
      <c r="R17" s="1">
        <f t="shared" ref="R17:AA17" si="10">+R15-R16</f>
        <v>935</v>
      </c>
      <c r="S17" s="1">
        <f t="shared" si="10"/>
        <v>961</v>
      </c>
      <c r="T17" s="1">
        <f t="shared" si="10"/>
        <v>1172</v>
      </c>
      <c r="U17" s="1">
        <f t="shared" si="10"/>
        <v>1753</v>
      </c>
      <c r="V17" s="1">
        <f t="shared" si="10"/>
        <v>1429</v>
      </c>
      <c r="W17" s="1">
        <f t="shared" si="10"/>
        <v>2093</v>
      </c>
      <c r="X17" s="1">
        <f t="shared" si="10"/>
        <v>1063</v>
      </c>
      <c r="Y17" s="1">
        <f t="shared" si="10"/>
        <v>1387</v>
      </c>
      <c r="Z17" s="1">
        <f t="shared" si="10"/>
        <v>1618</v>
      </c>
      <c r="AA17" s="1">
        <f t="shared" si="10"/>
        <v>1814</v>
      </c>
    </row>
    <row r="18" spans="2:27" s="24" customFormat="1" x14ac:dyDescent="0.2">
      <c r="B18" s="24" t="s">
        <v>18</v>
      </c>
      <c r="C18" s="24">
        <f t="shared" ref="C18:O18" si="11">+C17/C19</f>
        <v>0.33350228079067412</v>
      </c>
      <c r="D18" s="24">
        <f t="shared" si="11"/>
        <v>0.39296636085626913</v>
      </c>
      <c r="E18" s="24">
        <f t="shared" si="11"/>
        <v>0.36307053941908712</v>
      </c>
      <c r="F18" s="24">
        <f t="shared" si="11"/>
        <v>0.72251037344398339</v>
      </c>
      <c r="G18" s="24">
        <f t="shared" si="11"/>
        <v>0.27532467532467531</v>
      </c>
      <c r="H18" s="24">
        <f t="shared" si="11"/>
        <v>0.27645228215767637</v>
      </c>
      <c r="I18" s="24">
        <f t="shared" si="11"/>
        <v>0.31535269709543567</v>
      </c>
      <c r="J18" s="24">
        <f t="shared" si="11"/>
        <v>0.40375246190525549</v>
      </c>
      <c r="K18" s="24">
        <f t="shared" si="11"/>
        <v>0.39749608763693273</v>
      </c>
      <c r="L18" s="24">
        <f t="shared" si="11"/>
        <v>0.44828489133280963</v>
      </c>
      <c r="M18" s="24">
        <f t="shared" si="11"/>
        <v>0.46631027364632405</v>
      </c>
      <c r="N18" s="24">
        <f t="shared" si="11"/>
        <v>0.49588094605368055</v>
      </c>
      <c r="O18" s="24">
        <f t="shared" si="11"/>
        <v>0.51639916259595253</v>
      </c>
      <c r="R18" s="24">
        <f t="shared" ref="R18:Z18" si="12">+R17/D19</f>
        <v>0.47655453618756372</v>
      </c>
      <c r="S18" s="24">
        <f t="shared" si="12"/>
        <v>0.49844398340248963</v>
      </c>
      <c r="T18" s="24">
        <f t="shared" si="12"/>
        <v>0.60788381742738584</v>
      </c>
      <c r="U18" s="24">
        <f t="shared" si="12"/>
        <v>0.9106493506493506</v>
      </c>
      <c r="V18" s="24">
        <f t="shared" si="12"/>
        <v>0.74118257261410792</v>
      </c>
      <c r="W18" s="24">
        <f t="shared" si="12"/>
        <v>1.0855809128630705</v>
      </c>
      <c r="X18" s="24">
        <f t="shared" si="12"/>
        <v>0.5509484813931792</v>
      </c>
      <c r="Y18" s="24">
        <f t="shared" si="12"/>
        <v>0.72352634324465315</v>
      </c>
      <c r="Z18" s="24">
        <f t="shared" si="12"/>
        <v>0.84734223618748361</v>
      </c>
      <c r="AA18" s="24">
        <f>+AA17/N19</f>
        <v>0.96412436885463726</v>
      </c>
    </row>
    <row r="19" spans="2:27" x14ac:dyDescent="0.2">
      <c r="B19" s="1" t="s">
        <v>1</v>
      </c>
      <c r="C19" s="1">
        <v>1973</v>
      </c>
      <c r="D19" s="1">
        <v>1962</v>
      </c>
      <c r="E19" s="1">
        <v>1928</v>
      </c>
      <c r="F19" s="1">
        <v>1928</v>
      </c>
      <c r="G19" s="1">
        <v>1925</v>
      </c>
      <c r="H19" s="1">
        <v>1928</v>
      </c>
      <c r="I19" s="1">
        <v>1928</v>
      </c>
      <c r="J19" s="1">
        <v>1929.4</v>
      </c>
      <c r="K19" s="1">
        <v>1917</v>
      </c>
      <c r="L19" s="1">
        <v>1909.5</v>
      </c>
      <c r="M19" s="1">
        <v>1889.3</v>
      </c>
      <c r="N19" s="1">
        <v>1881.5</v>
      </c>
      <c r="O19" s="1">
        <v>1862.9</v>
      </c>
      <c r="R19" s="1">
        <v>2154</v>
      </c>
      <c r="S19" s="1">
        <v>2109</v>
      </c>
      <c r="T19" s="1">
        <v>2062</v>
      </c>
      <c r="U19" s="1">
        <v>2019</v>
      </c>
      <c r="V19" s="1">
        <v>1977</v>
      </c>
      <c r="W19" s="1">
        <v>1944</v>
      </c>
      <c r="X19" s="1">
        <v>1926</v>
      </c>
      <c r="Y19" s="1">
        <v>1928</v>
      </c>
      <c r="Z19" s="1">
        <v>1918.5</v>
      </c>
      <c r="AA19" s="1">
        <v>1891.8</v>
      </c>
    </row>
    <row r="21" spans="2:27" s="5" customFormat="1" x14ac:dyDescent="0.2">
      <c r="B21" s="5" t="s">
        <v>19</v>
      </c>
      <c r="C21" s="5">
        <f t="shared" ref="C21:O21" si="13">+C9/C7</f>
        <v>0.64440186148371204</v>
      </c>
      <c r="D21" s="5">
        <f t="shared" si="13"/>
        <v>0.64964834592341758</v>
      </c>
      <c r="E21" s="5">
        <f t="shared" si="13"/>
        <v>0.64866255144032925</v>
      </c>
      <c r="F21" s="5">
        <f t="shared" si="13"/>
        <v>0.65153035624686406</v>
      </c>
      <c r="G21" s="5">
        <f t="shared" si="13"/>
        <v>0.64210225649814334</v>
      </c>
      <c r="H21" s="5">
        <f t="shared" si="13"/>
        <v>0.658077029648102</v>
      </c>
      <c r="I21" s="5">
        <f t="shared" si="13"/>
        <v>0.65497937536829698</v>
      </c>
      <c r="J21" s="5">
        <f t="shared" si="13"/>
        <v>0.63870129870129866</v>
      </c>
      <c r="K21" s="5">
        <f t="shared" si="13"/>
        <v>0.6462585034013606</v>
      </c>
      <c r="L21" s="5">
        <f t="shared" si="13"/>
        <v>0.64201570680628273</v>
      </c>
      <c r="M21" s="5">
        <f t="shared" si="13"/>
        <v>0.64480995776839301</v>
      </c>
      <c r="N21" s="5">
        <f t="shared" si="13"/>
        <v>0.65293865293865294</v>
      </c>
      <c r="O21" s="5">
        <f t="shared" si="13"/>
        <v>0.65330747683688861</v>
      </c>
      <c r="R21" s="5">
        <f t="shared" ref="R21:AA21" si="14">+R9/R7</f>
        <v>0.65252035336913217</v>
      </c>
      <c r="S21" s="5">
        <f t="shared" si="14"/>
        <v>0.64344330932842075</v>
      </c>
      <c r="T21" s="5">
        <f t="shared" si="14"/>
        <v>0.63915881073241476</v>
      </c>
      <c r="U21" s="5">
        <f t="shared" si="14"/>
        <v>0.64228416043507819</v>
      </c>
      <c r="V21" s="5">
        <f t="shared" si="14"/>
        <v>0.64709022957821671</v>
      </c>
      <c r="W21" s="5">
        <f t="shared" si="14"/>
        <v>0.65011430022860051</v>
      </c>
      <c r="X21" s="5">
        <f t="shared" si="14"/>
        <v>0.65021097046413501</v>
      </c>
      <c r="Y21" s="5">
        <f t="shared" si="14"/>
        <v>0.64632799558255105</v>
      </c>
      <c r="Z21" s="5">
        <f t="shared" si="14"/>
        <v>0.64398456681866012</v>
      </c>
      <c r="AA21" s="5">
        <f t="shared" si="14"/>
        <v>0.64894662154786598</v>
      </c>
    </row>
    <row r="22" spans="2:27" s="5" customFormat="1" x14ac:dyDescent="0.2">
      <c r="B22" s="5" t="s">
        <v>20</v>
      </c>
      <c r="C22" s="5">
        <f t="shared" ref="C22:O22" si="15">+C13/C7</f>
        <v>0.26006022447303584</v>
      </c>
      <c r="D22" s="5">
        <f t="shared" si="15"/>
        <v>0.25579578015108101</v>
      </c>
      <c r="E22" s="5">
        <f t="shared" si="15"/>
        <v>0.2638888888888889</v>
      </c>
      <c r="F22" s="5">
        <f t="shared" si="15"/>
        <v>0.25940792774711491</v>
      </c>
      <c r="G22" s="5">
        <f t="shared" si="15"/>
        <v>0.21165381319622964</v>
      </c>
      <c r="H22" s="5">
        <f t="shared" si="15"/>
        <v>0.21307841507342754</v>
      </c>
      <c r="I22" s="5">
        <f t="shared" si="15"/>
        <v>0.24926340601060695</v>
      </c>
      <c r="J22" s="5">
        <f t="shared" si="15"/>
        <v>0.26207792207792208</v>
      </c>
      <c r="K22" s="5">
        <f t="shared" si="15"/>
        <v>0.27160493827160492</v>
      </c>
      <c r="L22" s="5">
        <f t="shared" si="15"/>
        <v>0.26745200698080279</v>
      </c>
      <c r="M22" s="5">
        <f t="shared" si="15"/>
        <v>0.28472993998666368</v>
      </c>
      <c r="N22" s="5">
        <f t="shared" si="15"/>
        <v>0.29064779064779067</v>
      </c>
      <c r="O22" s="5">
        <f t="shared" si="15"/>
        <v>0.30273647920706742</v>
      </c>
      <c r="R22" s="5">
        <f t="shared" ref="R22:AA22" si="16">+R13/R7</f>
        <v>0.23661874242161787</v>
      </c>
      <c r="S22" s="5">
        <f t="shared" si="16"/>
        <v>0.23999330095461396</v>
      </c>
      <c r="T22" s="5">
        <f t="shared" si="16"/>
        <v>0.24234952864394488</v>
      </c>
      <c r="U22" s="5">
        <f t="shared" si="16"/>
        <v>0.2539768864717879</v>
      </c>
      <c r="V22" s="5">
        <f t="shared" si="16"/>
        <v>0.25787506673785371</v>
      </c>
      <c r="W22" s="5">
        <f t="shared" si="16"/>
        <v>0.26162052324104651</v>
      </c>
      <c r="X22" s="5">
        <f t="shared" si="16"/>
        <v>0.21237693389592124</v>
      </c>
      <c r="Y22" s="5">
        <f t="shared" si="16"/>
        <v>0.25607399226946437</v>
      </c>
      <c r="Z22" s="5">
        <f t="shared" si="16"/>
        <v>0.26937916520519117</v>
      </c>
      <c r="AA22" s="5">
        <f t="shared" si="16"/>
        <v>0.28774151293526906</v>
      </c>
    </row>
    <row r="23" spans="2:27" s="5" customFormat="1" x14ac:dyDescent="0.2">
      <c r="B23" s="5" t="s">
        <v>21</v>
      </c>
      <c r="C23" s="5">
        <f t="shared" ref="C23:O23" si="17">+C17/C7</f>
        <v>0.1801259238981659</v>
      </c>
      <c r="D23" s="5">
        <f t="shared" si="17"/>
        <v>0.20083355040375098</v>
      </c>
      <c r="E23" s="5">
        <f t="shared" si="17"/>
        <v>0.1800411522633745</v>
      </c>
      <c r="F23" s="5">
        <f t="shared" si="17"/>
        <v>0.34947315604616158</v>
      </c>
      <c r="G23" s="5">
        <f t="shared" si="17"/>
        <v>0.15138531848043416</v>
      </c>
      <c r="H23" s="5">
        <f t="shared" si="17"/>
        <v>0.14768633970628983</v>
      </c>
      <c r="I23" s="5">
        <f t="shared" si="17"/>
        <v>0.17913965822038891</v>
      </c>
      <c r="J23" s="5">
        <f t="shared" si="17"/>
        <v>0.20233766233766234</v>
      </c>
      <c r="K23" s="5">
        <f t="shared" si="17"/>
        <v>0.19198790627362056</v>
      </c>
      <c r="L23" s="5">
        <f t="shared" si="17"/>
        <v>0.18673647469458987</v>
      </c>
      <c r="M23" s="5">
        <f t="shared" si="17"/>
        <v>0.19582129362080461</v>
      </c>
      <c r="N23" s="5">
        <f t="shared" si="17"/>
        <v>0.20012870012870013</v>
      </c>
      <c r="O23" s="5">
        <f t="shared" si="17"/>
        <v>0.20728291316526612</v>
      </c>
      <c r="R23" s="5">
        <f t="shared" ref="R23:AA23" si="18">+R17/R7</f>
        <v>0.16196085224320111</v>
      </c>
      <c r="S23" s="5">
        <f t="shared" si="18"/>
        <v>0.16094456539943058</v>
      </c>
      <c r="T23" s="5">
        <f t="shared" si="18"/>
        <v>0.16997824510514867</v>
      </c>
      <c r="U23" s="5">
        <f t="shared" si="18"/>
        <v>0.23834126444595513</v>
      </c>
      <c r="V23" s="5">
        <f t="shared" si="18"/>
        <v>0.19073678590496529</v>
      </c>
      <c r="W23" s="5">
        <f t="shared" si="18"/>
        <v>0.26581153162306326</v>
      </c>
      <c r="X23" s="5">
        <f t="shared" si="18"/>
        <v>0.14950773558368496</v>
      </c>
      <c r="Y23" s="5">
        <f t="shared" si="18"/>
        <v>0.19146880176697956</v>
      </c>
      <c r="Z23" s="5">
        <f t="shared" si="18"/>
        <v>0.18917338945399276</v>
      </c>
      <c r="AA23" s="5">
        <f t="shared" si="18"/>
        <v>0.1980133173234363</v>
      </c>
    </row>
    <row r="24" spans="2:27" s="5" customFormat="1" x14ac:dyDescent="0.2">
      <c r="B24" s="5" t="s">
        <v>22</v>
      </c>
      <c r="C24" s="5">
        <f t="shared" ref="C24:O24" si="19">+C16/C15</f>
        <v>0.22588235294117648</v>
      </c>
      <c r="D24" s="5">
        <f t="shared" si="19"/>
        <v>0.11481056257175661</v>
      </c>
      <c r="E24" s="5">
        <f t="shared" si="19"/>
        <v>0.24160346695557963</v>
      </c>
      <c r="F24" s="5">
        <f t="shared" si="19"/>
        <v>-0.67427884615384615</v>
      </c>
      <c r="G24" s="5">
        <f t="shared" si="19"/>
        <v>0.18960244648318042</v>
      </c>
      <c r="H24" s="5">
        <f t="shared" si="19"/>
        <v>0.22076023391812866</v>
      </c>
      <c r="I24" s="5">
        <f t="shared" si="19"/>
        <v>0.21243523316062177</v>
      </c>
      <c r="J24" s="5">
        <f t="shared" si="19"/>
        <v>0.17215727948990436</v>
      </c>
      <c r="K24" s="5">
        <f t="shared" si="19"/>
        <v>0.23799999999999999</v>
      </c>
      <c r="L24" s="5">
        <f t="shared" si="19"/>
        <v>0.2211101000909918</v>
      </c>
      <c r="M24" s="5">
        <f t="shared" si="19"/>
        <v>0.23056768558951965</v>
      </c>
      <c r="N24" s="5">
        <f t="shared" si="19"/>
        <v>0.2066326530612245</v>
      </c>
      <c r="O24" s="5">
        <f t="shared" si="19"/>
        <v>0.24311565696302123</v>
      </c>
      <c r="R24" s="5">
        <f t="shared" ref="R24:AA24" si="20">+R16/R15</f>
        <v>0.223421926910299</v>
      </c>
      <c r="S24" s="5">
        <f t="shared" si="20"/>
        <v>0.23669579030976967</v>
      </c>
      <c r="T24" s="5">
        <f t="shared" si="20"/>
        <v>0.20596205962059622</v>
      </c>
      <c r="U24" s="5">
        <f t="shared" si="20"/>
        <v>-3.9739027283511266E-2</v>
      </c>
      <c r="V24" s="5">
        <f t="shared" si="20"/>
        <v>0.16966879721092387</v>
      </c>
      <c r="W24" s="5">
        <f t="shared" si="20"/>
        <v>-0.19259259259259259</v>
      </c>
      <c r="X24" s="5">
        <f t="shared" si="20"/>
        <v>0.20553064275037369</v>
      </c>
      <c r="Y24" s="5">
        <f t="shared" si="20"/>
        <v>0.19030939871570343</v>
      </c>
      <c r="Z24" s="5">
        <f t="shared" si="20"/>
        <v>0.22915674130538352</v>
      </c>
      <c r="AA24" s="5">
        <f t="shared" si="20"/>
        <v>0.21844032744506678</v>
      </c>
    </row>
    <row r="26" spans="2:27" s="6" customFormat="1" x14ac:dyDescent="0.2">
      <c r="B26" s="6" t="s">
        <v>23</v>
      </c>
      <c r="E26" s="6">
        <f t="shared" ref="E26:O26" si="21">+E7/C7-1</f>
        <v>6.4330687106487927E-2</v>
      </c>
      <c r="F26" s="6">
        <f t="shared" si="21"/>
        <v>3.8291221672310582E-2</v>
      </c>
      <c r="G26" s="6">
        <f t="shared" si="21"/>
        <v>-9.953703703703709E-2</v>
      </c>
      <c r="H26" s="6">
        <f t="shared" si="21"/>
        <v>-9.4581033617661792E-2</v>
      </c>
      <c r="I26" s="6">
        <f t="shared" si="21"/>
        <v>-3.0562696372465004E-2</v>
      </c>
      <c r="J26" s="6">
        <f t="shared" si="21"/>
        <v>6.677750069271271E-2</v>
      </c>
      <c r="K26" s="6">
        <f t="shared" si="21"/>
        <v>0.16941661756040061</v>
      </c>
      <c r="L26" s="6">
        <f t="shared" si="21"/>
        <v>0.19064935064935074</v>
      </c>
      <c r="M26" s="6">
        <f t="shared" si="21"/>
        <v>0.13353489543965735</v>
      </c>
      <c r="N26" s="6">
        <f t="shared" si="21"/>
        <v>1.7015706806282616E-2</v>
      </c>
      <c r="O26" s="6">
        <f t="shared" si="21"/>
        <v>3.1562569459880008E-2</v>
      </c>
      <c r="S26" s="6">
        <f t="shared" ref="S26:AA26" si="22">+S7/R7-1</f>
        <v>3.4297592239736607E-2</v>
      </c>
      <c r="T26" s="6">
        <f t="shared" si="22"/>
        <v>0.15474794841735062</v>
      </c>
      <c r="U26" s="6">
        <f t="shared" si="22"/>
        <v>6.6715010877447467E-2</v>
      </c>
      <c r="V26" s="6">
        <f t="shared" si="22"/>
        <v>1.8626784500339832E-2</v>
      </c>
      <c r="W26" s="6">
        <f t="shared" si="22"/>
        <v>5.0987720234917155E-2</v>
      </c>
      <c r="X26" s="6">
        <f t="shared" si="22"/>
        <v>-9.7028194056388073E-2</v>
      </c>
      <c r="Y26" s="6">
        <f t="shared" si="22"/>
        <v>1.8846694796061936E-2</v>
      </c>
      <c r="Z26" s="6">
        <f t="shared" si="22"/>
        <v>0.18070127001656533</v>
      </c>
      <c r="AA26" s="6">
        <f t="shared" si="22"/>
        <v>7.1086168595814403E-2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32C-7A0D-4A62-BA83-1CE4A164EB64}">
  <dimension ref="A2:AR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RowHeight="12.75" x14ac:dyDescent="0.2"/>
  <cols>
    <col min="1" max="1" width="9.140625" style="39"/>
    <col min="2" max="2" width="27" bestFit="1" customWidth="1"/>
  </cols>
  <sheetData>
    <row r="2" spans="1:44" s="2" customFormat="1" ht="13.5" thickBot="1" x14ac:dyDescent="0.25">
      <c r="A2" s="39"/>
      <c r="C2" s="2" t="s">
        <v>50</v>
      </c>
      <c r="D2" s="2" t="s">
        <v>54</v>
      </c>
      <c r="E2" s="2" t="s">
        <v>49</v>
      </c>
      <c r="F2" s="2" t="s">
        <v>53</v>
      </c>
      <c r="G2" s="2" t="s">
        <v>48</v>
      </c>
      <c r="H2" s="2" t="s">
        <v>52</v>
      </c>
      <c r="I2" s="2" t="s">
        <v>46</v>
      </c>
      <c r="J2" s="2" t="s">
        <v>47</v>
      </c>
      <c r="K2" s="2" t="s">
        <v>45</v>
      </c>
      <c r="L2" s="2" t="s">
        <v>27</v>
      </c>
      <c r="M2" s="2" t="s">
        <v>43</v>
      </c>
      <c r="N2" s="2" t="s">
        <v>26</v>
      </c>
      <c r="O2" s="2" t="s">
        <v>44</v>
      </c>
      <c r="R2">
        <v>2014</v>
      </c>
      <c r="S2">
        <v>2015</v>
      </c>
      <c r="T2">
        <v>2016</v>
      </c>
      <c r="U2">
        <v>2017</v>
      </c>
      <c r="V2">
        <v>2018</v>
      </c>
      <c r="W2">
        <v>2019</v>
      </c>
      <c r="X2">
        <v>2020</v>
      </c>
      <c r="Y2">
        <v>2021</v>
      </c>
      <c r="Z2">
        <v>2022</v>
      </c>
      <c r="AA2">
        <v>2023</v>
      </c>
      <c r="AB2">
        <v>2024</v>
      </c>
      <c r="AC2">
        <v>2025</v>
      </c>
      <c r="AD2">
        <v>2026</v>
      </c>
      <c r="AE2">
        <v>2027</v>
      </c>
      <c r="AF2">
        <v>2028</v>
      </c>
      <c r="AG2">
        <v>2029</v>
      </c>
      <c r="AH2">
        <v>2030</v>
      </c>
      <c r="AI2">
        <v>2031</v>
      </c>
      <c r="AJ2">
        <v>2032</v>
      </c>
      <c r="AK2">
        <v>2033</v>
      </c>
      <c r="AL2">
        <v>2034</v>
      </c>
      <c r="AM2">
        <v>2035</v>
      </c>
      <c r="AN2">
        <v>2036</v>
      </c>
      <c r="AO2">
        <v>2037</v>
      </c>
      <c r="AP2">
        <v>2038</v>
      </c>
      <c r="AQ2">
        <v>2039</v>
      </c>
      <c r="AR2">
        <v>2040</v>
      </c>
    </row>
    <row r="3" spans="1:44" s="2" customFormat="1" x14ac:dyDescent="0.2">
      <c r="A3" s="40"/>
      <c r="B3" s="67" t="s">
        <v>56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9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29" customFormat="1" x14ac:dyDescent="0.2">
      <c r="A4" s="41"/>
      <c r="B4" s="70" t="s">
        <v>29</v>
      </c>
      <c r="C4" s="32"/>
      <c r="D4" s="32"/>
      <c r="E4" s="32"/>
      <c r="F4" s="32"/>
      <c r="G4" s="32">
        <v>1209</v>
      </c>
      <c r="H4" s="32"/>
      <c r="I4" s="32">
        <v>1228</v>
      </c>
      <c r="J4" s="32"/>
      <c r="K4" s="32">
        <v>1387</v>
      </c>
      <c r="L4" s="32"/>
      <c r="M4" s="32">
        <v>1565</v>
      </c>
      <c r="N4" s="32"/>
      <c r="O4" s="71">
        <v>1623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29" customFormat="1" x14ac:dyDescent="0.2">
      <c r="A5" s="41"/>
      <c r="B5" s="70" t="s">
        <v>30</v>
      </c>
      <c r="C5" s="32"/>
      <c r="D5" s="32"/>
      <c r="E5" s="32"/>
      <c r="F5" s="32"/>
      <c r="G5" s="32">
        <v>1276</v>
      </c>
      <c r="H5" s="32"/>
      <c r="I5" s="32">
        <v>1264</v>
      </c>
      <c r="J5" s="32"/>
      <c r="K5" s="32">
        <v>1346</v>
      </c>
      <c r="L5" s="32"/>
      <c r="M5" s="32">
        <v>1476</v>
      </c>
      <c r="N5" s="32"/>
      <c r="O5" s="71">
        <v>1475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s="29" customFormat="1" x14ac:dyDescent="0.2">
      <c r="A6" s="41"/>
      <c r="B6" s="70" t="s">
        <v>31</v>
      </c>
      <c r="C6" s="32"/>
      <c r="D6" s="32"/>
      <c r="E6" s="32"/>
      <c r="F6" s="32"/>
      <c r="G6" s="32">
        <v>815</v>
      </c>
      <c r="H6" s="32"/>
      <c r="I6" s="32">
        <v>781</v>
      </c>
      <c r="J6" s="32"/>
      <c r="K6" s="32">
        <v>842</v>
      </c>
      <c r="L6" s="32"/>
      <c r="M6" s="32">
        <v>913</v>
      </c>
      <c r="N6" s="32"/>
      <c r="O6" s="71">
        <v>942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s="29" customFormat="1" x14ac:dyDescent="0.2">
      <c r="A7" s="41"/>
      <c r="B7" s="70" t="s">
        <v>32</v>
      </c>
      <c r="C7" s="32"/>
      <c r="D7" s="32"/>
      <c r="E7" s="32"/>
      <c r="F7" s="32"/>
      <c r="G7" s="32">
        <v>201</v>
      </c>
      <c r="H7" s="32"/>
      <c r="I7" s="32">
        <v>121</v>
      </c>
      <c r="J7" s="32"/>
      <c r="K7" s="32">
        <v>394</v>
      </c>
      <c r="L7" s="32"/>
      <c r="M7" s="32">
        <v>545</v>
      </c>
      <c r="N7" s="32"/>
      <c r="O7" s="71">
        <v>601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s="29" customFormat="1" x14ac:dyDescent="0.2">
      <c r="A8" s="41"/>
      <c r="B8" s="70" t="s">
        <v>33</v>
      </c>
      <c r="C8" s="32"/>
      <c r="D8" s="32"/>
      <c r="E8" s="32"/>
      <c r="F8" s="32"/>
      <c r="G8" s="32">
        <f>+SUM(G4:G7)</f>
        <v>3501</v>
      </c>
      <c r="H8" s="32"/>
      <c r="I8" s="32">
        <f>+SUM(I4:I7)</f>
        <v>3394</v>
      </c>
      <c r="J8" s="32"/>
      <c r="K8" s="32">
        <f>+SUM(K4:K7)</f>
        <v>3969</v>
      </c>
      <c r="L8" s="32"/>
      <c r="M8" s="32">
        <f>+SUM(M4:M7)</f>
        <v>4499</v>
      </c>
      <c r="N8" s="32"/>
      <c r="O8" s="71">
        <f>+SUM(O4:O7)</f>
        <v>4641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s="29" customFormat="1" x14ac:dyDescent="0.2">
      <c r="A9" s="41"/>
      <c r="B9" s="70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7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s="29" customFormat="1" x14ac:dyDescent="0.2">
      <c r="A10" s="41"/>
      <c r="B10" s="72" t="s">
        <v>57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7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s="29" customFormat="1" x14ac:dyDescent="0.2">
      <c r="A11" s="41"/>
      <c r="B11" s="70" t="s">
        <v>29</v>
      </c>
      <c r="C11" s="32"/>
      <c r="D11" s="32"/>
      <c r="E11" s="32"/>
      <c r="F11" s="32"/>
      <c r="G11" s="32">
        <v>445</v>
      </c>
      <c r="H11" s="32"/>
      <c r="I11" s="29">
        <v>457</v>
      </c>
      <c r="J11" s="32"/>
      <c r="K11" s="32">
        <v>520</v>
      </c>
      <c r="L11" s="32"/>
      <c r="M11" s="32">
        <v>587</v>
      </c>
      <c r="N11" s="32"/>
      <c r="O11" s="71">
        <v>619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29" customFormat="1" x14ac:dyDescent="0.2">
      <c r="A12" s="41"/>
      <c r="B12" s="70" t="s">
        <v>30</v>
      </c>
      <c r="C12" s="32"/>
      <c r="D12" s="32"/>
      <c r="E12" s="32"/>
      <c r="F12" s="32"/>
      <c r="G12" s="32">
        <v>467</v>
      </c>
      <c r="H12" s="32"/>
      <c r="I12" s="32">
        <v>467</v>
      </c>
      <c r="J12" s="32"/>
      <c r="K12" s="32">
        <v>500</v>
      </c>
      <c r="L12" s="32"/>
      <c r="M12" s="32">
        <v>550</v>
      </c>
      <c r="N12" s="32"/>
      <c r="O12" s="71">
        <v>555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s="29" customFormat="1" x14ac:dyDescent="0.2">
      <c r="A13" s="41"/>
      <c r="B13" s="70" t="s">
        <v>31</v>
      </c>
      <c r="C13" s="32"/>
      <c r="D13" s="32"/>
      <c r="E13" s="32"/>
      <c r="F13" s="32"/>
      <c r="G13" s="32">
        <v>150</v>
      </c>
      <c r="H13" s="32"/>
      <c r="I13" s="32">
        <v>151</v>
      </c>
      <c r="J13" s="32"/>
      <c r="K13" s="32">
        <v>165</v>
      </c>
      <c r="L13" s="32"/>
      <c r="M13" s="32">
        <v>182</v>
      </c>
      <c r="N13" s="32"/>
      <c r="O13" s="71">
        <v>191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s="29" customFormat="1" x14ac:dyDescent="0.2">
      <c r="A14" s="41"/>
      <c r="B14" s="70" t="s">
        <v>32</v>
      </c>
      <c r="C14" s="32"/>
      <c r="D14" s="32"/>
      <c r="E14" s="32"/>
      <c r="F14" s="32"/>
      <c r="G14" s="32">
        <v>-66</v>
      </c>
      <c r="H14" s="32"/>
      <c r="I14" s="32">
        <v>-48</v>
      </c>
      <c r="J14" s="32"/>
      <c r="K14" s="32">
        <v>59</v>
      </c>
      <c r="L14" s="32"/>
      <c r="M14" s="32">
        <v>173</v>
      </c>
      <c r="N14" s="32"/>
      <c r="O14" s="71">
        <v>223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29" customFormat="1" x14ac:dyDescent="0.2">
      <c r="A15" s="41"/>
      <c r="B15" s="70" t="s">
        <v>33</v>
      </c>
      <c r="C15" s="32"/>
      <c r="D15" s="32"/>
      <c r="E15" s="32"/>
      <c r="F15" s="32"/>
      <c r="G15" s="32">
        <f>+SUM(G11:G14)</f>
        <v>996</v>
      </c>
      <c r="H15" s="32"/>
      <c r="I15" s="32">
        <f>+SUM(I11:I14)</f>
        <v>1027</v>
      </c>
      <c r="J15" s="32"/>
      <c r="K15" s="32">
        <f>+SUM(K11:K14)</f>
        <v>1244</v>
      </c>
      <c r="L15" s="32"/>
      <c r="M15" s="32">
        <f>+SUM(M11:M14)</f>
        <v>1492</v>
      </c>
      <c r="N15" s="32"/>
      <c r="O15" s="71">
        <f>+SUM(O11:O14)</f>
        <v>1588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29" customFormat="1" x14ac:dyDescent="0.2">
      <c r="A16" s="41"/>
      <c r="B16" s="70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7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s="2" customFormat="1" x14ac:dyDescent="0.2">
      <c r="A17" s="40"/>
      <c r="B17" s="74" t="s">
        <v>58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75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28" customFormat="1" x14ac:dyDescent="0.2">
      <c r="A18" s="42"/>
      <c r="B18" s="58" t="s">
        <v>29</v>
      </c>
      <c r="C18" s="33"/>
      <c r="D18" s="33"/>
      <c r="E18" s="33"/>
      <c r="F18" s="33"/>
      <c r="G18" s="33">
        <f>+G11/G4</f>
        <v>0.36807278742762611</v>
      </c>
      <c r="H18" s="33"/>
      <c r="I18" s="33">
        <f>+I11/I4</f>
        <v>0.37214983713355049</v>
      </c>
      <c r="J18" s="33"/>
      <c r="K18" s="33">
        <f>+K11/K4</f>
        <v>0.37490987743330928</v>
      </c>
      <c r="L18" s="33"/>
      <c r="M18" s="33">
        <f>+M11/M4</f>
        <v>0.37507987220447286</v>
      </c>
      <c r="N18" s="33"/>
      <c r="O18" s="76">
        <f>+O11/O4</f>
        <v>0.38139248305606899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s="28" customFormat="1" x14ac:dyDescent="0.2">
      <c r="A19" s="42"/>
      <c r="B19" s="58" t="s">
        <v>30</v>
      </c>
      <c r="C19" s="33"/>
      <c r="D19" s="33"/>
      <c r="E19" s="33"/>
      <c r="F19" s="33"/>
      <c r="G19" s="33">
        <f>+G12/G5</f>
        <v>0.36598746081504702</v>
      </c>
      <c r="H19" s="33"/>
      <c r="I19" s="33">
        <f>+I12/I5</f>
        <v>0.36946202531645572</v>
      </c>
      <c r="J19" s="33"/>
      <c r="K19" s="33">
        <f>+K12/K5</f>
        <v>0.37147102526002973</v>
      </c>
      <c r="L19" s="33"/>
      <c r="M19" s="33">
        <f>+M12/M5</f>
        <v>0.37262872628726285</v>
      </c>
      <c r="N19" s="33"/>
      <c r="O19" s="76">
        <f>+O12/O5</f>
        <v>0.37627118644067797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s="28" customFormat="1" x14ac:dyDescent="0.2">
      <c r="A20" s="42"/>
      <c r="B20" s="58" t="s">
        <v>31</v>
      </c>
      <c r="C20" s="33"/>
      <c r="D20" s="33"/>
      <c r="E20" s="33"/>
      <c r="F20" s="33"/>
      <c r="G20" s="33">
        <f>+G13/G6</f>
        <v>0.18404907975460122</v>
      </c>
      <c r="H20" s="33"/>
      <c r="I20" s="33">
        <f>+I13/I6</f>
        <v>0.19334186939820744</v>
      </c>
      <c r="J20" s="33"/>
      <c r="K20" s="33">
        <f>+K13/K6</f>
        <v>0.19596199524940616</v>
      </c>
      <c r="L20" s="33"/>
      <c r="M20" s="33">
        <f>+M13/M6</f>
        <v>0.19934282584884994</v>
      </c>
      <c r="N20" s="33"/>
      <c r="O20" s="76">
        <f>+O13/O6</f>
        <v>0.20276008492569003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s="28" customFormat="1" x14ac:dyDescent="0.2">
      <c r="A21" s="42"/>
      <c r="B21" s="58" t="s">
        <v>32</v>
      </c>
      <c r="C21" s="33"/>
      <c r="D21" s="33"/>
      <c r="E21" s="33"/>
      <c r="F21" s="33"/>
      <c r="G21" s="33">
        <f>+G14/G7</f>
        <v>-0.32835820895522388</v>
      </c>
      <c r="H21" s="33"/>
      <c r="I21" s="33">
        <f>+I14/I7</f>
        <v>-0.39669421487603307</v>
      </c>
      <c r="J21" s="33"/>
      <c r="K21" s="33">
        <f>+K14/K7</f>
        <v>0.14974619289340102</v>
      </c>
      <c r="L21" s="33"/>
      <c r="M21" s="33">
        <f>+M14/M7</f>
        <v>0.31743119266055048</v>
      </c>
      <c r="N21" s="33"/>
      <c r="O21" s="76">
        <f>+O14/O7</f>
        <v>0.37104825291181365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B22" s="58" t="s">
        <v>20</v>
      </c>
      <c r="C22" s="36"/>
      <c r="D22" s="36"/>
      <c r="E22" s="36"/>
      <c r="F22" s="36"/>
      <c r="G22" s="33">
        <f>+G15/G8</f>
        <v>0.28449014567266495</v>
      </c>
      <c r="H22" s="36"/>
      <c r="I22" s="33">
        <f>+I15/I8</f>
        <v>0.30259281084266354</v>
      </c>
      <c r="J22" s="36"/>
      <c r="K22" s="33">
        <f>+K15/K8</f>
        <v>0.31342907533383724</v>
      </c>
      <c r="L22" s="36"/>
      <c r="M22" s="33">
        <f>+M15/M8</f>
        <v>0.33162925094465434</v>
      </c>
      <c r="N22" s="36"/>
      <c r="O22" s="76">
        <f>+O15/O8</f>
        <v>0.34216763628528335</v>
      </c>
    </row>
    <row r="23" spans="1:44" x14ac:dyDescent="0.2">
      <c r="B23" s="58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76"/>
    </row>
    <row r="24" spans="1:44" x14ac:dyDescent="0.2">
      <c r="B24" s="60" t="s">
        <v>23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61"/>
    </row>
    <row r="25" spans="1:44" s="5" customFormat="1" x14ac:dyDescent="0.2">
      <c r="A25" s="43"/>
      <c r="B25" s="58" t="s">
        <v>29</v>
      </c>
      <c r="C25" s="34"/>
      <c r="D25" s="34"/>
      <c r="E25" s="34"/>
      <c r="F25" s="34"/>
      <c r="G25" s="34"/>
      <c r="H25" s="34"/>
      <c r="I25" s="34">
        <f>+I4/G4-1</f>
        <v>1.5715467328370591E-2</v>
      </c>
      <c r="J25" s="34"/>
      <c r="K25" s="34">
        <f>+K4/I4-1</f>
        <v>0.12947882736156346</v>
      </c>
      <c r="L25" s="34"/>
      <c r="M25" s="34">
        <f>+M4/K4-1</f>
        <v>0.12833453496755598</v>
      </c>
      <c r="N25" s="34"/>
      <c r="O25" s="62">
        <f>+O4/M4-1</f>
        <v>3.706070287539931E-2</v>
      </c>
    </row>
    <row r="26" spans="1:44" s="5" customFormat="1" x14ac:dyDescent="0.2">
      <c r="A26" s="43"/>
      <c r="B26" s="58" t="s">
        <v>30</v>
      </c>
      <c r="C26" s="34"/>
      <c r="D26" s="34"/>
      <c r="E26" s="34"/>
      <c r="F26" s="34"/>
      <c r="G26" s="34"/>
      <c r="H26" s="34"/>
      <c r="I26" s="34">
        <f t="shared" ref="I26:O28" si="0">+I5/G5-1</f>
        <v>-9.4043887147335914E-3</v>
      </c>
      <c r="J26" s="34"/>
      <c r="K26" s="34">
        <f t="shared" si="0"/>
        <v>6.4873417721518889E-2</v>
      </c>
      <c r="L26" s="34"/>
      <c r="M26" s="34">
        <f t="shared" si="0"/>
        <v>9.6582466567607828E-2</v>
      </c>
      <c r="N26" s="34"/>
      <c r="O26" s="62">
        <f t="shared" si="0"/>
        <v>-6.7750677506772661E-4</v>
      </c>
    </row>
    <row r="27" spans="1:44" s="5" customFormat="1" x14ac:dyDescent="0.2">
      <c r="A27" s="43"/>
      <c r="B27" s="58" t="s">
        <v>31</v>
      </c>
      <c r="C27" s="34"/>
      <c r="D27" s="34"/>
      <c r="E27" s="34"/>
      <c r="F27" s="34"/>
      <c r="G27" s="34"/>
      <c r="H27" s="34"/>
      <c r="I27" s="34">
        <f t="shared" si="0"/>
        <v>-4.1717791411042926E-2</v>
      </c>
      <c r="J27" s="34"/>
      <c r="K27" s="34">
        <f t="shared" si="0"/>
        <v>7.8104993597951422E-2</v>
      </c>
      <c r="L27" s="34"/>
      <c r="M27" s="34">
        <f t="shared" si="0"/>
        <v>8.4323040380047454E-2</v>
      </c>
      <c r="N27" s="34"/>
      <c r="O27" s="62">
        <f t="shared" si="0"/>
        <v>3.1763417305586072E-2</v>
      </c>
    </row>
    <row r="28" spans="1:44" s="5" customFormat="1" ht="13.5" thickBot="1" x14ac:dyDescent="0.25">
      <c r="A28" s="43"/>
      <c r="B28" s="64" t="s">
        <v>32</v>
      </c>
      <c r="C28" s="65"/>
      <c r="D28" s="65"/>
      <c r="E28" s="65"/>
      <c r="F28" s="65"/>
      <c r="G28" s="65"/>
      <c r="H28" s="65"/>
      <c r="I28" s="65">
        <f t="shared" si="0"/>
        <v>-0.39800995024875618</v>
      </c>
      <c r="J28" s="65"/>
      <c r="K28" s="65">
        <f>+K7/I7-1</f>
        <v>2.2561983471074378</v>
      </c>
      <c r="L28" s="65"/>
      <c r="M28" s="65">
        <f t="shared" si="0"/>
        <v>0.38324873096446699</v>
      </c>
      <c r="N28" s="65"/>
      <c r="O28" s="66">
        <f t="shared" si="0"/>
        <v>0.10275229357798166</v>
      </c>
    </row>
    <row r="29" spans="1:44" ht="13.5" thickBot="1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spans="1:44" x14ac:dyDescent="0.2">
      <c r="B30" s="53" t="s">
        <v>71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5"/>
    </row>
    <row r="31" spans="1:44" s="39" customFormat="1" x14ac:dyDescent="0.2">
      <c r="B31" s="56" t="s">
        <v>61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57"/>
    </row>
    <row r="32" spans="1:44" x14ac:dyDescent="0.2">
      <c r="B32" s="58" t="s">
        <v>63</v>
      </c>
      <c r="C32" s="36"/>
      <c r="D32" s="36"/>
      <c r="E32" s="36"/>
      <c r="F32" s="36"/>
      <c r="G32" s="36"/>
      <c r="H32" s="36"/>
      <c r="I32" s="37">
        <f>+I56+I68+I80+I92</f>
        <v>3033.47</v>
      </c>
      <c r="J32" s="36"/>
      <c r="K32" s="36"/>
      <c r="L32" s="36"/>
      <c r="M32" s="37">
        <f>+M56+M68+M80+M92</f>
        <v>3757.81</v>
      </c>
      <c r="N32" s="36"/>
      <c r="O32" s="59">
        <f>+O56+O68+O80+O92</f>
        <v>3863.06</v>
      </c>
    </row>
    <row r="33" spans="1:15" x14ac:dyDescent="0.2">
      <c r="B33" s="58" t="s">
        <v>69</v>
      </c>
      <c r="C33" s="36"/>
      <c r="D33" s="36"/>
      <c r="E33" s="36"/>
      <c r="F33" s="36"/>
      <c r="G33" s="36"/>
      <c r="H33" s="36"/>
      <c r="I33" s="37">
        <f>+I57+I69+I81+I93</f>
        <v>360.53</v>
      </c>
      <c r="J33" s="36"/>
      <c r="K33" s="36"/>
      <c r="L33" s="36"/>
      <c r="M33" s="37">
        <f>+M57+M69+M81+M93</f>
        <v>741.19</v>
      </c>
      <c r="N33" s="36"/>
      <c r="O33" s="59">
        <f>+O57+O69+O81+O93</f>
        <v>777.94</v>
      </c>
    </row>
    <row r="34" spans="1:15" s="39" customFormat="1" x14ac:dyDescent="0.2">
      <c r="B34" s="56" t="s">
        <v>59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57"/>
    </row>
    <row r="35" spans="1:15" x14ac:dyDescent="0.2">
      <c r="B35" s="58" t="s">
        <v>35</v>
      </c>
      <c r="C35" s="36"/>
      <c r="D35" s="36"/>
      <c r="E35" s="36"/>
      <c r="F35" s="36"/>
      <c r="G35" s="36"/>
      <c r="H35" s="36"/>
      <c r="I35" s="37">
        <f>+I59+I71+I83+I95</f>
        <v>2061.6400000000003</v>
      </c>
      <c r="J35" s="36"/>
      <c r="K35" s="36"/>
      <c r="L35" s="36"/>
      <c r="M35" s="37">
        <f>+M59+M71+M83+M95</f>
        <v>2702.81</v>
      </c>
      <c r="N35" s="36"/>
      <c r="O35" s="59">
        <f>+O59+O71+O83+O95</f>
        <v>2751.48</v>
      </c>
    </row>
    <row r="36" spans="1:15" x14ac:dyDescent="0.2">
      <c r="B36" s="58" t="s">
        <v>36</v>
      </c>
      <c r="C36" s="36"/>
      <c r="D36" s="36"/>
      <c r="E36" s="36"/>
      <c r="F36" s="36"/>
      <c r="G36" s="36"/>
      <c r="H36" s="36"/>
      <c r="I36" s="37">
        <f>+I60+I72+I84+I96</f>
        <v>650.19000000000005</v>
      </c>
      <c r="J36" s="36"/>
      <c r="K36" s="36"/>
      <c r="L36" s="36"/>
      <c r="M36" s="37">
        <f>+M60+M72+M84+M96</f>
        <v>897.66</v>
      </c>
      <c r="N36" s="36"/>
      <c r="O36" s="59">
        <f>+O60+O72+O84+O96</f>
        <v>946.93999999999994</v>
      </c>
    </row>
    <row r="37" spans="1:15" x14ac:dyDescent="0.2">
      <c r="B37" s="58" t="s">
        <v>62</v>
      </c>
      <c r="C37" s="36"/>
      <c r="D37" s="36"/>
      <c r="E37" s="36"/>
      <c r="F37" s="36"/>
      <c r="G37" s="36"/>
      <c r="H37" s="36"/>
      <c r="I37" s="37">
        <f>+I61+I73+I85+I97</f>
        <v>682.17000000000007</v>
      </c>
      <c r="J37" s="36"/>
      <c r="K37" s="36"/>
      <c r="L37" s="36"/>
      <c r="M37" s="37">
        <f>+M61+M73+M85+M97</f>
        <v>898.53000000000009</v>
      </c>
      <c r="N37" s="36"/>
      <c r="O37" s="59">
        <f>+O61+O73+O85+O97</f>
        <v>942.58</v>
      </c>
    </row>
    <row r="38" spans="1:15" s="39" customFormat="1" x14ac:dyDescent="0.2">
      <c r="B38" s="56" t="s">
        <v>60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57"/>
    </row>
    <row r="39" spans="1:15" x14ac:dyDescent="0.2">
      <c r="B39" s="58" t="s">
        <v>40</v>
      </c>
      <c r="C39" s="36"/>
      <c r="D39" s="36"/>
      <c r="E39" s="36"/>
      <c r="F39" s="36"/>
      <c r="G39" s="36"/>
      <c r="H39" s="36"/>
      <c r="I39" s="37">
        <f>+I63+I75+I87+I99+I100</f>
        <v>1337.45</v>
      </c>
      <c r="J39" s="36"/>
      <c r="K39" s="36"/>
      <c r="L39" s="36"/>
      <c r="M39" s="37">
        <f>+M63+M75+M87+M99+M100</f>
        <v>2051.25</v>
      </c>
      <c r="N39" s="36"/>
      <c r="O39" s="59">
        <f>+O63+O75+O87+O92+O93</f>
        <v>2142.85</v>
      </c>
    </row>
    <row r="40" spans="1:15" x14ac:dyDescent="0.2">
      <c r="B40" s="58" t="s">
        <v>65</v>
      </c>
      <c r="C40" s="36"/>
      <c r="D40" s="36"/>
      <c r="E40" s="36"/>
      <c r="F40" s="36"/>
      <c r="G40" s="36"/>
      <c r="H40" s="36"/>
      <c r="I40" s="37">
        <f>+I64+I76+I88</f>
        <v>2056.5500000000002</v>
      </c>
      <c r="J40" s="36"/>
      <c r="K40" s="36"/>
      <c r="L40" s="36"/>
      <c r="M40" s="37">
        <f>+M64+M76+M88</f>
        <v>2447.75</v>
      </c>
      <c r="N40" s="36"/>
      <c r="O40" s="59">
        <f>+O64+O76+O88</f>
        <v>2498.15</v>
      </c>
    </row>
    <row r="41" spans="1:15" x14ac:dyDescent="0.2">
      <c r="B41" s="58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59"/>
    </row>
    <row r="42" spans="1:15" x14ac:dyDescent="0.2">
      <c r="B42" s="60" t="s">
        <v>70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61"/>
    </row>
    <row r="43" spans="1:15" x14ac:dyDescent="0.2">
      <c r="B43" s="56" t="s">
        <v>61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57"/>
    </row>
    <row r="44" spans="1:15" s="5" customFormat="1" x14ac:dyDescent="0.2">
      <c r="A44" s="43"/>
      <c r="B44" s="58" t="s">
        <v>63</v>
      </c>
      <c r="C44" s="34"/>
      <c r="D44" s="34"/>
      <c r="E44" s="34"/>
      <c r="F44" s="34"/>
      <c r="G44" s="34"/>
      <c r="H44" s="34"/>
      <c r="I44" s="34">
        <f>+I32/$I$8</f>
        <v>0.89377430760164989</v>
      </c>
      <c r="J44" s="34"/>
      <c r="K44" s="34"/>
      <c r="L44" s="34"/>
      <c r="M44" s="34">
        <f>+M32/$M$8</f>
        <v>0.83525450100022225</v>
      </c>
      <c r="N44" s="34"/>
      <c r="O44" s="62">
        <f>+O32/$O$8</f>
        <v>0.83237664296487823</v>
      </c>
    </row>
    <row r="45" spans="1:15" s="5" customFormat="1" x14ac:dyDescent="0.2">
      <c r="A45" s="43"/>
      <c r="B45" s="58" t="s">
        <v>69</v>
      </c>
      <c r="C45" s="34"/>
      <c r="D45" s="34"/>
      <c r="E45" s="34"/>
      <c r="F45" s="34"/>
      <c r="G45" s="34"/>
      <c r="H45" s="34"/>
      <c r="I45" s="34">
        <f>+I33/$I$8</f>
        <v>0.10622569239835002</v>
      </c>
      <c r="J45" s="34"/>
      <c r="K45" s="34"/>
      <c r="L45" s="34"/>
      <c r="M45" s="34">
        <f>+M33/$M$8</f>
        <v>0.16474549899977775</v>
      </c>
      <c r="N45" s="34"/>
      <c r="O45" s="62">
        <f>+O33/$O$8</f>
        <v>0.16762335703512174</v>
      </c>
    </row>
    <row r="46" spans="1:15" s="5" customFormat="1" x14ac:dyDescent="0.2">
      <c r="A46" s="43"/>
      <c r="B46" s="56" t="s">
        <v>59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63"/>
    </row>
    <row r="47" spans="1:15" s="5" customFormat="1" x14ac:dyDescent="0.2">
      <c r="A47" s="43"/>
      <c r="B47" s="58" t="s">
        <v>35</v>
      </c>
      <c r="C47" s="34"/>
      <c r="D47" s="34"/>
      <c r="E47" s="34"/>
      <c r="F47" s="34"/>
      <c r="G47" s="34"/>
      <c r="H47" s="34"/>
      <c r="I47" s="34">
        <f t="shared" ref="I47:I52" si="1">+I35/$I$8</f>
        <v>0.60743665291691229</v>
      </c>
      <c r="J47" s="34"/>
      <c r="K47" s="34"/>
      <c r="L47" s="34"/>
      <c r="M47" s="34">
        <f t="shared" ref="M47:M52" si="2">+M35/$M$8</f>
        <v>0.6007579462102689</v>
      </c>
      <c r="N47" s="34"/>
      <c r="O47" s="62">
        <f>+O35/$O$8</f>
        <v>0.59286360698125407</v>
      </c>
    </row>
    <row r="48" spans="1:15" s="5" customFormat="1" x14ac:dyDescent="0.2">
      <c r="A48" s="43"/>
      <c r="B48" s="58" t="s">
        <v>36</v>
      </c>
      <c r="C48" s="34"/>
      <c r="D48" s="34"/>
      <c r="E48" s="34"/>
      <c r="F48" s="34"/>
      <c r="G48" s="34"/>
      <c r="H48" s="34"/>
      <c r="I48" s="34">
        <f t="shared" si="1"/>
        <v>0.19157041838538599</v>
      </c>
      <c r="J48" s="34"/>
      <c r="K48" s="34"/>
      <c r="L48" s="34"/>
      <c r="M48" s="34">
        <f t="shared" si="2"/>
        <v>0.19952433874194264</v>
      </c>
      <c r="N48" s="34"/>
      <c r="O48" s="62">
        <f>+O36/$O$8</f>
        <v>0.20403792286145225</v>
      </c>
    </row>
    <row r="49" spans="1:18" s="5" customFormat="1" x14ac:dyDescent="0.2">
      <c r="A49" s="43"/>
      <c r="B49" s="58" t="s">
        <v>62</v>
      </c>
      <c r="C49" s="34"/>
      <c r="D49" s="34"/>
      <c r="E49" s="34"/>
      <c r="F49" s="34"/>
      <c r="G49" s="34"/>
      <c r="H49" s="34"/>
      <c r="I49" s="34">
        <f t="shared" si="1"/>
        <v>0.20099292869770186</v>
      </c>
      <c r="J49" s="34"/>
      <c r="K49" s="34"/>
      <c r="L49" s="34"/>
      <c r="M49" s="34">
        <f t="shared" si="2"/>
        <v>0.19971771504778843</v>
      </c>
      <c r="N49" s="34"/>
      <c r="O49" s="62">
        <f>+O37/$O$8</f>
        <v>0.20309847015729371</v>
      </c>
    </row>
    <row r="50" spans="1:18" s="5" customFormat="1" x14ac:dyDescent="0.2">
      <c r="A50" s="43"/>
      <c r="B50" s="56" t="s">
        <v>60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3"/>
    </row>
    <row r="51" spans="1:18" s="5" customFormat="1" x14ac:dyDescent="0.2">
      <c r="A51" s="43"/>
      <c r="B51" s="58" t="s">
        <v>40</v>
      </c>
      <c r="C51" s="34"/>
      <c r="D51" s="34"/>
      <c r="E51" s="34"/>
      <c r="F51" s="34"/>
      <c r="G51" s="34"/>
      <c r="H51" s="34"/>
      <c r="I51" s="34">
        <f t="shared" si="1"/>
        <v>0.39406305244549206</v>
      </c>
      <c r="J51" s="34"/>
      <c r="K51" s="34"/>
      <c r="L51" s="34"/>
      <c r="M51" s="34">
        <f t="shared" si="2"/>
        <v>0.45593465214492107</v>
      </c>
      <c r="N51" s="34"/>
      <c r="O51" s="62">
        <f>+O39/$O$8</f>
        <v>0.46172161172161169</v>
      </c>
    </row>
    <row r="52" spans="1:18" s="5" customFormat="1" ht="13.5" thickBot="1" x14ac:dyDescent="0.25">
      <c r="A52" s="43"/>
      <c r="B52" s="64" t="s">
        <v>65</v>
      </c>
      <c r="C52" s="65"/>
      <c r="D52" s="65"/>
      <c r="E52" s="65"/>
      <c r="F52" s="65"/>
      <c r="G52" s="65"/>
      <c r="H52" s="65"/>
      <c r="I52" s="65">
        <f t="shared" si="1"/>
        <v>0.605936947554508</v>
      </c>
      <c r="J52" s="65"/>
      <c r="K52" s="65"/>
      <c r="L52" s="65"/>
      <c r="M52" s="65">
        <f t="shared" si="2"/>
        <v>0.54406534785507887</v>
      </c>
      <c r="N52" s="65"/>
      <c r="O52" s="66">
        <f>+O40/$O$8</f>
        <v>0.53827838827838825</v>
      </c>
    </row>
    <row r="53" spans="1:18" ht="13.5" thickBot="1" x14ac:dyDescent="0.25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18" s="46" customFormat="1" x14ac:dyDescent="0.2">
      <c r="A54" s="45"/>
      <c r="B54" s="53" t="s">
        <v>29</v>
      </c>
      <c r="C54" s="77"/>
      <c r="D54" s="77"/>
      <c r="E54" s="77"/>
      <c r="F54" s="77"/>
      <c r="G54" s="77"/>
      <c r="H54" s="77"/>
      <c r="I54" s="78">
        <f>+I4</f>
        <v>1228</v>
      </c>
      <c r="J54" s="77"/>
      <c r="K54" s="78">
        <f>+K4</f>
        <v>1387</v>
      </c>
      <c r="L54" s="77"/>
      <c r="M54" s="78">
        <f>+M4</f>
        <v>1565</v>
      </c>
      <c r="N54" s="77"/>
      <c r="O54" s="79">
        <f>+O4</f>
        <v>1623</v>
      </c>
    </row>
    <row r="55" spans="1:18" s="39" customFormat="1" x14ac:dyDescent="0.2">
      <c r="B55" s="56" t="s">
        <v>61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57"/>
    </row>
    <row r="56" spans="1:18" s="1" customFormat="1" x14ac:dyDescent="0.2">
      <c r="A56" s="44"/>
      <c r="B56" s="70" t="s">
        <v>63</v>
      </c>
      <c r="C56" s="37"/>
      <c r="D56" s="37"/>
      <c r="E56" s="37"/>
      <c r="F56" s="37"/>
      <c r="G56" s="37"/>
      <c r="H56" s="37"/>
      <c r="I56" s="37">
        <f>+I54*0.99</f>
        <v>1215.72</v>
      </c>
      <c r="J56" s="37"/>
      <c r="K56" s="37"/>
      <c r="L56" s="37"/>
      <c r="M56" s="37">
        <f>+M54*0.99</f>
        <v>1549.35</v>
      </c>
      <c r="N56" s="37"/>
      <c r="O56" s="59">
        <f>+O54*0.99</f>
        <v>1606.77</v>
      </c>
      <c r="R56" s="44"/>
    </row>
    <row r="57" spans="1:18" s="1" customFormat="1" x14ac:dyDescent="0.2">
      <c r="A57" s="44"/>
      <c r="B57" s="58" t="s">
        <v>69</v>
      </c>
      <c r="C57" s="37"/>
      <c r="D57" s="37"/>
      <c r="E57" s="37"/>
      <c r="F57" s="37"/>
      <c r="G57" s="37"/>
      <c r="H57" s="37"/>
      <c r="I57" s="37">
        <f>+I54*0.01</f>
        <v>12.280000000000001</v>
      </c>
      <c r="J57" s="37"/>
      <c r="K57" s="37"/>
      <c r="L57" s="37"/>
      <c r="M57" s="37">
        <f>+M54*0.01</f>
        <v>15.65</v>
      </c>
      <c r="N57" s="37"/>
      <c r="O57" s="59">
        <f>+O54*0.01</f>
        <v>16.23</v>
      </c>
    </row>
    <row r="58" spans="1:18" s="44" customFormat="1" x14ac:dyDescent="0.2">
      <c r="B58" s="80" t="s">
        <v>59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81"/>
    </row>
    <row r="59" spans="1:18" s="1" customFormat="1" x14ac:dyDescent="0.2">
      <c r="A59" s="44"/>
      <c r="B59" s="70" t="s">
        <v>35</v>
      </c>
      <c r="C59" s="37"/>
      <c r="D59" s="37"/>
      <c r="E59" s="37"/>
      <c r="F59" s="37"/>
      <c r="G59" s="37"/>
      <c r="H59" s="37"/>
      <c r="I59" s="37">
        <f>+I54*0.79</f>
        <v>970.12</v>
      </c>
      <c r="J59" s="37"/>
      <c r="K59" s="37"/>
      <c r="L59" s="37"/>
      <c r="M59" s="37">
        <f>+M54*0.8</f>
        <v>1252</v>
      </c>
      <c r="N59" s="37"/>
      <c r="O59" s="59">
        <f>+O54*0.79</f>
        <v>1282.17</v>
      </c>
    </row>
    <row r="60" spans="1:18" s="1" customFormat="1" x14ac:dyDescent="0.2">
      <c r="A60" s="44"/>
      <c r="B60" s="70" t="s">
        <v>36</v>
      </c>
      <c r="C60" s="37"/>
      <c r="D60" s="37"/>
      <c r="E60" s="37"/>
      <c r="F60" s="37"/>
      <c r="G60" s="37"/>
      <c r="H60" s="37"/>
      <c r="I60" s="37">
        <f>+I54*0.14</f>
        <v>171.92000000000002</v>
      </c>
      <c r="J60" s="37"/>
      <c r="K60" s="37"/>
      <c r="L60" s="37"/>
      <c r="M60" s="37">
        <f>+M54*0.13</f>
        <v>203.45000000000002</v>
      </c>
      <c r="N60" s="37"/>
      <c r="O60" s="59">
        <f>+O54*0.13</f>
        <v>210.99</v>
      </c>
    </row>
    <row r="61" spans="1:18" s="1" customFormat="1" x14ac:dyDescent="0.2">
      <c r="A61" s="44"/>
      <c r="B61" s="70" t="s">
        <v>62</v>
      </c>
      <c r="C61" s="37"/>
      <c r="D61" s="37"/>
      <c r="E61" s="37"/>
      <c r="F61" s="37"/>
      <c r="G61" s="37"/>
      <c r="H61" s="37"/>
      <c r="I61" s="37">
        <f>+I54*0.07</f>
        <v>85.960000000000008</v>
      </c>
      <c r="J61" s="37"/>
      <c r="K61" s="37"/>
      <c r="L61" s="37"/>
      <c r="M61" s="37">
        <f>+M54*0.07</f>
        <v>109.55000000000001</v>
      </c>
      <c r="N61" s="37"/>
      <c r="O61" s="59">
        <f>+O54*0.08</f>
        <v>129.84</v>
      </c>
    </row>
    <row r="62" spans="1:18" s="44" customFormat="1" x14ac:dyDescent="0.2">
      <c r="B62" s="80" t="s">
        <v>60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81"/>
    </row>
    <row r="63" spans="1:18" s="1" customFormat="1" x14ac:dyDescent="0.2">
      <c r="A63" s="44"/>
      <c r="B63" s="70" t="s">
        <v>40</v>
      </c>
      <c r="C63" s="37"/>
      <c r="D63" s="37"/>
      <c r="E63" s="37"/>
      <c r="F63" s="37"/>
      <c r="G63" s="37"/>
      <c r="H63" s="37"/>
      <c r="I63" s="37">
        <f>+I54*0.61</f>
        <v>749.07999999999993</v>
      </c>
      <c r="J63" s="37"/>
      <c r="K63" s="37"/>
      <c r="L63" s="37"/>
      <c r="M63" s="37">
        <f>+M54*0.61</f>
        <v>954.65</v>
      </c>
      <c r="N63" s="37"/>
      <c r="O63" s="59">
        <f>+O54*0.61</f>
        <v>990.03</v>
      </c>
    </row>
    <row r="64" spans="1:18" s="1" customFormat="1" x14ac:dyDescent="0.2">
      <c r="A64" s="44"/>
      <c r="B64" s="70" t="s">
        <v>65</v>
      </c>
      <c r="C64" s="37"/>
      <c r="D64" s="37"/>
      <c r="E64" s="37"/>
      <c r="F64" s="37"/>
      <c r="G64" s="37"/>
      <c r="H64" s="37"/>
      <c r="I64" s="37">
        <f>+I54*0.39</f>
        <v>478.92</v>
      </c>
      <c r="J64" s="37"/>
      <c r="K64" s="37"/>
      <c r="L64" s="37"/>
      <c r="M64" s="37">
        <f>+M54*0.39</f>
        <v>610.35</v>
      </c>
      <c r="N64" s="37"/>
      <c r="O64" s="59">
        <f>+O54*0.39</f>
        <v>632.97</v>
      </c>
    </row>
    <row r="65" spans="1:15" x14ac:dyDescent="0.2">
      <c r="B65" s="82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83"/>
    </row>
    <row r="66" spans="1:15" s="46" customFormat="1" x14ac:dyDescent="0.2">
      <c r="A66" s="45"/>
      <c r="B66" s="72" t="s">
        <v>30</v>
      </c>
      <c r="C66" s="48"/>
      <c r="D66" s="48"/>
      <c r="E66" s="48"/>
      <c r="F66" s="48"/>
      <c r="G66" s="48"/>
      <c r="H66" s="48"/>
      <c r="I66" s="49">
        <f>+I5</f>
        <v>1264</v>
      </c>
      <c r="J66" s="48"/>
      <c r="K66" s="49">
        <f>+K5</f>
        <v>1346</v>
      </c>
      <c r="L66" s="48"/>
      <c r="M66" s="49">
        <f>+M5</f>
        <v>1476</v>
      </c>
      <c r="N66" s="48"/>
      <c r="O66" s="84">
        <f>+O5</f>
        <v>1475</v>
      </c>
    </row>
    <row r="67" spans="1:15" s="39" customFormat="1" x14ac:dyDescent="0.2">
      <c r="B67" s="56" t="s">
        <v>61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57"/>
    </row>
    <row r="68" spans="1:15" s="1" customFormat="1" x14ac:dyDescent="0.2">
      <c r="A68" s="44"/>
      <c r="B68" s="70" t="s">
        <v>63</v>
      </c>
      <c r="C68" s="37"/>
      <c r="D68" s="37"/>
      <c r="E68" s="37"/>
      <c r="F68" s="37"/>
      <c r="G68" s="37"/>
      <c r="H68" s="37"/>
      <c r="I68" s="37">
        <f>+I66*0.88</f>
        <v>1112.32</v>
      </c>
      <c r="J68" s="37"/>
      <c r="K68" s="37"/>
      <c r="L68" s="37"/>
      <c r="M68" s="37">
        <f>+M66*0.91</f>
        <v>1343.16</v>
      </c>
      <c r="N68" s="37"/>
      <c r="O68" s="59">
        <f>+O66*0.92</f>
        <v>1357</v>
      </c>
    </row>
    <row r="69" spans="1:15" s="1" customFormat="1" x14ac:dyDescent="0.2">
      <c r="A69" s="44"/>
      <c r="B69" s="58" t="s">
        <v>69</v>
      </c>
      <c r="C69" s="37"/>
      <c r="D69" s="37"/>
      <c r="E69" s="37"/>
      <c r="F69" s="37"/>
      <c r="G69" s="37"/>
      <c r="H69" s="37"/>
      <c r="I69" s="37">
        <f>+I66*0.12</f>
        <v>151.68</v>
      </c>
      <c r="J69" s="37"/>
      <c r="K69" s="37"/>
      <c r="L69" s="37"/>
      <c r="M69" s="37">
        <f>+M66*0.09</f>
        <v>132.84</v>
      </c>
      <c r="N69" s="37"/>
      <c r="O69" s="59">
        <f>+O66*0.08</f>
        <v>118</v>
      </c>
    </row>
    <row r="70" spans="1:15" s="44" customFormat="1" x14ac:dyDescent="0.2">
      <c r="B70" s="80" t="s">
        <v>59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81"/>
    </row>
    <row r="71" spans="1:15" s="1" customFormat="1" x14ac:dyDescent="0.2">
      <c r="A71" s="44"/>
      <c r="B71" s="70" t="s">
        <v>35</v>
      </c>
      <c r="C71" s="37"/>
      <c r="D71" s="37"/>
      <c r="E71" s="37"/>
      <c r="F71" s="37"/>
      <c r="G71" s="37"/>
      <c r="H71" s="37"/>
      <c r="I71" s="37">
        <f>+I66*0.45</f>
        <v>568.80000000000007</v>
      </c>
      <c r="J71" s="37"/>
      <c r="K71" s="37"/>
      <c r="L71" s="37"/>
      <c r="M71" s="37">
        <f>+M66*0.47</f>
        <v>693.71999999999991</v>
      </c>
      <c r="N71" s="37"/>
      <c r="O71" s="59">
        <f>+O66*0.46</f>
        <v>678.5</v>
      </c>
    </row>
    <row r="72" spans="1:15" s="1" customFormat="1" x14ac:dyDescent="0.2">
      <c r="A72" s="44"/>
      <c r="B72" s="70" t="s">
        <v>36</v>
      </c>
      <c r="C72" s="37"/>
      <c r="D72" s="37"/>
      <c r="E72" s="37"/>
      <c r="F72" s="37"/>
      <c r="G72" s="37"/>
      <c r="H72" s="37"/>
      <c r="I72" s="37">
        <f>+I66*0.23</f>
        <v>290.72000000000003</v>
      </c>
      <c r="J72" s="37"/>
      <c r="K72" s="37"/>
      <c r="L72" s="37"/>
      <c r="M72" s="37">
        <f>+M66*0.21</f>
        <v>309.95999999999998</v>
      </c>
      <c r="N72" s="37"/>
      <c r="O72" s="59">
        <f>+O66*0.21</f>
        <v>309.75</v>
      </c>
    </row>
    <row r="73" spans="1:15" s="1" customFormat="1" x14ac:dyDescent="0.2">
      <c r="A73" s="44"/>
      <c r="B73" s="70" t="s">
        <v>62</v>
      </c>
      <c r="C73" s="37"/>
      <c r="D73" s="37"/>
      <c r="E73" s="37"/>
      <c r="F73" s="37"/>
      <c r="G73" s="37"/>
      <c r="H73" s="37"/>
      <c r="I73" s="37">
        <f>+I66*0.32</f>
        <v>404.48</v>
      </c>
      <c r="J73" s="37"/>
      <c r="K73" s="37"/>
      <c r="L73" s="37"/>
      <c r="M73" s="37">
        <f>+M66*0.32</f>
        <v>472.32</v>
      </c>
      <c r="N73" s="37"/>
      <c r="O73" s="59">
        <f>+O66*0.33</f>
        <v>486.75</v>
      </c>
    </row>
    <row r="74" spans="1:15" s="44" customFormat="1" x14ac:dyDescent="0.2">
      <c r="B74" s="80" t="s">
        <v>60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81"/>
    </row>
    <row r="75" spans="1:15" s="1" customFormat="1" x14ac:dyDescent="0.2">
      <c r="A75" s="44"/>
      <c r="B75" s="70" t="s">
        <v>40</v>
      </c>
      <c r="C75" s="37"/>
      <c r="D75" s="37"/>
      <c r="E75" s="37"/>
      <c r="F75" s="37"/>
      <c r="G75" s="37"/>
      <c r="H75" s="37"/>
      <c r="I75" s="37">
        <f>+I66*0.24</f>
        <v>303.36</v>
      </c>
      <c r="J75" s="37"/>
      <c r="K75" s="37"/>
      <c r="L75" s="37"/>
      <c r="M75" s="37">
        <f>+M66*0.25</f>
        <v>369</v>
      </c>
      <c r="N75" s="37"/>
      <c r="O75" s="59">
        <f>+O66*0.24</f>
        <v>354</v>
      </c>
    </row>
    <row r="76" spans="1:15" s="1" customFormat="1" x14ac:dyDescent="0.2">
      <c r="A76" s="44"/>
      <c r="B76" s="70" t="s">
        <v>65</v>
      </c>
      <c r="C76" s="37"/>
      <c r="D76" s="37"/>
      <c r="E76" s="37"/>
      <c r="F76" s="37"/>
      <c r="G76" s="37"/>
      <c r="H76" s="37"/>
      <c r="I76" s="37">
        <f>+I66*0.76</f>
        <v>960.64</v>
      </c>
      <c r="J76" s="37"/>
      <c r="K76" s="37"/>
      <c r="L76" s="37"/>
      <c r="M76" s="37">
        <f>+M66*0.75</f>
        <v>1107</v>
      </c>
      <c r="N76" s="37"/>
      <c r="O76" s="59">
        <f>+O66*0.76</f>
        <v>1121</v>
      </c>
    </row>
    <row r="77" spans="1:15" x14ac:dyDescent="0.2">
      <c r="B77" s="82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83"/>
    </row>
    <row r="78" spans="1:15" s="46" customFormat="1" x14ac:dyDescent="0.2">
      <c r="A78" s="45"/>
      <c r="B78" s="72" t="s">
        <v>31</v>
      </c>
      <c r="C78" s="48"/>
      <c r="D78" s="48"/>
      <c r="E78" s="48"/>
      <c r="F78" s="48"/>
      <c r="G78" s="48"/>
      <c r="H78" s="48"/>
      <c r="I78" s="49">
        <f>+I6</f>
        <v>781</v>
      </c>
      <c r="J78" s="48"/>
      <c r="K78" s="49">
        <f>+K6</f>
        <v>842</v>
      </c>
      <c r="L78" s="48"/>
      <c r="M78" s="49">
        <f>+M6</f>
        <v>913</v>
      </c>
      <c r="N78" s="48"/>
      <c r="O78" s="84">
        <f>+O6</f>
        <v>942</v>
      </c>
    </row>
    <row r="79" spans="1:15" s="39" customFormat="1" x14ac:dyDescent="0.2">
      <c r="B79" s="56" t="s">
        <v>61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57"/>
    </row>
    <row r="80" spans="1:15" s="1" customFormat="1" x14ac:dyDescent="0.2">
      <c r="A80" s="44"/>
      <c r="B80" s="70" t="s">
        <v>63</v>
      </c>
      <c r="C80" s="37"/>
      <c r="D80" s="37"/>
      <c r="E80" s="37"/>
      <c r="F80" s="37"/>
      <c r="G80" s="37"/>
      <c r="H80" s="37"/>
      <c r="I80" s="37">
        <f>+I78*0.88</f>
        <v>687.28</v>
      </c>
      <c r="J80" s="37"/>
      <c r="K80" s="37"/>
      <c r="L80" s="37"/>
      <c r="M80" s="37">
        <f>+M78*0.9</f>
        <v>821.7</v>
      </c>
      <c r="N80" s="37"/>
      <c r="O80" s="59">
        <f>+O78*0.91</f>
        <v>857.22</v>
      </c>
    </row>
    <row r="81" spans="1:15" s="1" customFormat="1" x14ac:dyDescent="0.2">
      <c r="A81" s="44"/>
      <c r="B81" s="70" t="s">
        <v>64</v>
      </c>
      <c r="C81" s="37"/>
      <c r="D81" s="37"/>
      <c r="E81" s="37"/>
      <c r="F81" s="37"/>
      <c r="G81" s="37"/>
      <c r="H81" s="37"/>
      <c r="I81" s="37">
        <f>+I78*0.12</f>
        <v>93.72</v>
      </c>
      <c r="J81" s="37"/>
      <c r="K81" s="37"/>
      <c r="L81" s="37"/>
      <c r="M81" s="37">
        <f>+M78*0.1</f>
        <v>91.300000000000011</v>
      </c>
      <c r="N81" s="37"/>
      <c r="O81" s="59">
        <f>+O78*0.09</f>
        <v>84.78</v>
      </c>
    </row>
    <row r="82" spans="1:15" s="44" customFormat="1" x14ac:dyDescent="0.2">
      <c r="B82" s="80" t="s">
        <v>59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81"/>
    </row>
    <row r="83" spans="1:15" s="1" customFormat="1" x14ac:dyDescent="0.2">
      <c r="A83" s="44"/>
      <c r="B83" s="70" t="s">
        <v>35</v>
      </c>
      <c r="C83" s="37"/>
      <c r="D83" s="37"/>
      <c r="E83" s="37"/>
      <c r="F83" s="37"/>
      <c r="G83" s="37"/>
      <c r="H83" s="37"/>
      <c r="I83" s="37">
        <f>+I78*0.66</f>
        <v>515.46</v>
      </c>
      <c r="J83" s="37"/>
      <c r="K83" s="37"/>
      <c r="L83" s="37"/>
      <c r="M83" s="37">
        <f>+M78*0.68</f>
        <v>620.84</v>
      </c>
      <c r="N83" s="37"/>
      <c r="O83" s="59">
        <f>+O78*0.68</f>
        <v>640.56000000000006</v>
      </c>
    </row>
    <row r="84" spans="1:15" s="1" customFormat="1" x14ac:dyDescent="0.2">
      <c r="A84" s="44"/>
      <c r="B84" s="70" t="s">
        <v>36</v>
      </c>
      <c r="C84" s="37"/>
      <c r="D84" s="37"/>
      <c r="E84" s="37"/>
      <c r="F84" s="37"/>
      <c r="G84" s="37"/>
      <c r="H84" s="37"/>
      <c r="I84" s="37">
        <f>+I78*0.22</f>
        <v>171.82</v>
      </c>
      <c r="J84" s="37"/>
      <c r="K84" s="37"/>
      <c r="L84" s="37"/>
      <c r="M84" s="37">
        <f>+M78*0.2</f>
        <v>182.60000000000002</v>
      </c>
      <c r="N84" s="37"/>
      <c r="O84" s="59">
        <f>+O78*0.21</f>
        <v>197.82</v>
      </c>
    </row>
    <row r="85" spans="1:15" s="1" customFormat="1" x14ac:dyDescent="0.2">
      <c r="A85" s="44"/>
      <c r="B85" s="70" t="s">
        <v>62</v>
      </c>
      <c r="C85" s="37"/>
      <c r="D85" s="37"/>
      <c r="E85" s="37"/>
      <c r="F85" s="37"/>
      <c r="G85" s="37"/>
      <c r="H85" s="37"/>
      <c r="I85" s="37">
        <f>+I78*0.12</f>
        <v>93.72</v>
      </c>
      <c r="J85" s="37"/>
      <c r="K85" s="37"/>
      <c r="L85" s="37"/>
      <c r="M85" s="37">
        <f>+M78*0.12</f>
        <v>109.56</v>
      </c>
      <c r="N85" s="37"/>
      <c r="O85" s="59">
        <f>+O78*0.11</f>
        <v>103.62</v>
      </c>
    </row>
    <row r="86" spans="1:15" s="44" customFormat="1" x14ac:dyDescent="0.2">
      <c r="B86" s="80" t="s">
        <v>60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81"/>
    </row>
    <row r="87" spans="1:15" s="1" customFormat="1" x14ac:dyDescent="0.2">
      <c r="A87" s="44"/>
      <c r="B87" s="70" t="s">
        <v>40</v>
      </c>
      <c r="C87" s="37"/>
      <c r="D87" s="37"/>
      <c r="E87" s="37"/>
      <c r="F87" s="37"/>
      <c r="G87" s="37"/>
      <c r="H87" s="37"/>
      <c r="I87" s="37">
        <f>+I78*0.21</f>
        <v>164.01</v>
      </c>
      <c r="J87" s="37"/>
      <c r="K87" s="37"/>
      <c r="L87" s="37"/>
      <c r="M87" s="37">
        <f>+M78*0.2</f>
        <v>182.60000000000002</v>
      </c>
      <c r="N87" s="37"/>
      <c r="O87" s="59">
        <f>+O78*0.21</f>
        <v>197.82</v>
      </c>
    </row>
    <row r="88" spans="1:15" s="1" customFormat="1" x14ac:dyDescent="0.2">
      <c r="A88" s="44"/>
      <c r="B88" s="70" t="s">
        <v>65</v>
      </c>
      <c r="C88" s="37"/>
      <c r="D88" s="37"/>
      <c r="E88" s="37"/>
      <c r="F88" s="37"/>
      <c r="G88" s="37"/>
      <c r="H88" s="37"/>
      <c r="I88" s="37">
        <f>+I78*0.79</f>
        <v>616.99</v>
      </c>
      <c r="J88" s="37"/>
      <c r="K88" s="37"/>
      <c r="L88" s="37"/>
      <c r="M88" s="37">
        <f>+M78*0.8</f>
        <v>730.40000000000009</v>
      </c>
      <c r="N88" s="37"/>
      <c r="O88" s="59">
        <f>+O78*0.79</f>
        <v>744.18000000000006</v>
      </c>
    </row>
    <row r="89" spans="1:15" x14ac:dyDescent="0.2">
      <c r="B89" s="82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83"/>
    </row>
    <row r="90" spans="1:15" s="46" customFormat="1" x14ac:dyDescent="0.2">
      <c r="A90" s="45"/>
      <c r="B90" s="72" t="s">
        <v>32</v>
      </c>
      <c r="C90" s="48"/>
      <c r="D90" s="48"/>
      <c r="E90" s="48"/>
      <c r="F90" s="48"/>
      <c r="G90" s="48"/>
      <c r="H90" s="48"/>
      <c r="I90" s="49">
        <f>+I7</f>
        <v>121</v>
      </c>
      <c r="J90" s="48"/>
      <c r="K90" s="49">
        <f>+K7</f>
        <v>394</v>
      </c>
      <c r="L90" s="48"/>
      <c r="M90" s="49">
        <f>+M7</f>
        <v>545</v>
      </c>
      <c r="N90" s="48"/>
      <c r="O90" s="84">
        <f>+O7</f>
        <v>601</v>
      </c>
    </row>
    <row r="91" spans="1:15" s="39" customFormat="1" x14ac:dyDescent="0.2">
      <c r="B91" s="56" t="s">
        <v>61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57"/>
    </row>
    <row r="92" spans="1:15" s="1" customFormat="1" x14ac:dyDescent="0.2">
      <c r="A92" s="44"/>
      <c r="B92" s="70" t="s">
        <v>63</v>
      </c>
      <c r="C92" s="37"/>
      <c r="D92" s="37"/>
      <c r="E92" s="37"/>
      <c r="F92" s="37"/>
      <c r="G92" s="37"/>
      <c r="H92" s="37"/>
      <c r="I92" s="37">
        <f>+I90*0.15</f>
        <v>18.149999999999999</v>
      </c>
      <c r="J92" s="37"/>
      <c r="K92" s="37"/>
      <c r="L92" s="37"/>
      <c r="M92" s="37">
        <f>+M90*0.08</f>
        <v>43.6</v>
      </c>
      <c r="N92" s="37"/>
      <c r="O92" s="59">
        <f>+O90*0.07</f>
        <v>42.070000000000007</v>
      </c>
    </row>
    <row r="93" spans="1:15" s="1" customFormat="1" x14ac:dyDescent="0.2">
      <c r="A93" s="44"/>
      <c r="B93" s="70" t="s">
        <v>64</v>
      </c>
      <c r="C93" s="37"/>
      <c r="D93" s="37"/>
      <c r="E93" s="37"/>
      <c r="F93" s="37"/>
      <c r="G93" s="37"/>
      <c r="H93" s="37"/>
      <c r="I93" s="37">
        <f>+I90*0.85</f>
        <v>102.85</v>
      </c>
      <c r="J93" s="37"/>
      <c r="K93" s="37"/>
      <c r="L93" s="37"/>
      <c r="M93" s="37">
        <f>+M90*0.92</f>
        <v>501.40000000000003</v>
      </c>
      <c r="N93" s="37"/>
      <c r="O93" s="59">
        <f>+O90*0.93</f>
        <v>558.93000000000006</v>
      </c>
    </row>
    <row r="94" spans="1:15" s="44" customFormat="1" x14ac:dyDescent="0.2">
      <c r="B94" s="80" t="s">
        <v>59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81"/>
    </row>
    <row r="95" spans="1:15" s="1" customFormat="1" x14ac:dyDescent="0.2">
      <c r="A95" s="44"/>
      <c r="B95" s="70" t="s">
        <v>35</v>
      </c>
      <c r="C95" s="37"/>
      <c r="D95" s="37"/>
      <c r="E95" s="37"/>
      <c r="F95" s="37"/>
      <c r="G95" s="37"/>
      <c r="H95" s="37"/>
      <c r="I95" s="37">
        <f>+I90*0.06</f>
        <v>7.26</v>
      </c>
      <c r="J95" s="37"/>
      <c r="K95" s="37"/>
      <c r="L95" s="37"/>
      <c r="M95" s="37">
        <f>+M90*0.25</f>
        <v>136.25</v>
      </c>
      <c r="N95" s="37"/>
      <c r="O95" s="59">
        <f>+O90*0.25</f>
        <v>150.25</v>
      </c>
    </row>
    <row r="96" spans="1:15" s="1" customFormat="1" x14ac:dyDescent="0.2">
      <c r="A96" s="44"/>
      <c r="B96" s="70" t="s">
        <v>36</v>
      </c>
      <c r="C96" s="37"/>
      <c r="D96" s="37"/>
      <c r="E96" s="37"/>
      <c r="F96" s="37"/>
      <c r="G96" s="37"/>
      <c r="H96" s="37"/>
      <c r="I96" s="37">
        <f>+I90*0.13</f>
        <v>15.73</v>
      </c>
      <c r="J96" s="37"/>
      <c r="K96" s="37"/>
      <c r="L96" s="37"/>
      <c r="M96" s="37">
        <f>+M90*0.37</f>
        <v>201.65</v>
      </c>
      <c r="N96" s="37"/>
      <c r="O96" s="59">
        <f>+O90*0.38</f>
        <v>228.38</v>
      </c>
    </row>
    <row r="97" spans="1:15" s="1" customFormat="1" x14ac:dyDescent="0.2">
      <c r="A97" s="44"/>
      <c r="B97" s="70" t="s">
        <v>62</v>
      </c>
      <c r="C97" s="37"/>
      <c r="D97" s="37"/>
      <c r="E97" s="37"/>
      <c r="F97" s="37"/>
      <c r="G97" s="37"/>
      <c r="H97" s="37"/>
      <c r="I97" s="37">
        <f>+I90*0.81</f>
        <v>98.01</v>
      </c>
      <c r="J97" s="37"/>
      <c r="K97" s="37"/>
      <c r="L97" s="37"/>
      <c r="M97" s="37">
        <f>+M90*0.38</f>
        <v>207.1</v>
      </c>
      <c r="N97" s="37"/>
      <c r="O97" s="59">
        <f>+O90*0.37</f>
        <v>222.37</v>
      </c>
    </row>
    <row r="98" spans="1:15" s="44" customFormat="1" x14ac:dyDescent="0.2">
      <c r="B98" s="80" t="s">
        <v>66</v>
      </c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81"/>
    </row>
    <row r="99" spans="1:15" s="1" customFormat="1" x14ac:dyDescent="0.2">
      <c r="A99" s="44"/>
      <c r="B99" s="70" t="s">
        <v>67</v>
      </c>
      <c r="C99" s="37"/>
      <c r="D99" s="37"/>
      <c r="E99" s="37"/>
      <c r="F99" s="37"/>
      <c r="G99" s="37"/>
      <c r="H99" s="37"/>
      <c r="I99" s="37">
        <f>+I90*0.72</f>
        <v>87.11999999999999</v>
      </c>
      <c r="J99" s="37"/>
      <c r="K99" s="37"/>
      <c r="L99" s="37"/>
      <c r="M99" s="37">
        <f>+M90*0.72</f>
        <v>392.4</v>
      </c>
      <c r="N99" s="37"/>
      <c r="O99" s="59">
        <f>+O90*0.73</f>
        <v>438.72999999999996</v>
      </c>
    </row>
    <row r="100" spans="1:15" s="1" customFormat="1" ht="13.5" thickBot="1" x14ac:dyDescent="0.25">
      <c r="A100" s="44"/>
      <c r="B100" s="85" t="s">
        <v>68</v>
      </c>
      <c r="C100" s="86"/>
      <c r="D100" s="86"/>
      <c r="E100" s="86"/>
      <c r="F100" s="86"/>
      <c r="G100" s="86"/>
      <c r="H100" s="86"/>
      <c r="I100" s="86">
        <f>+I90*0.28</f>
        <v>33.880000000000003</v>
      </c>
      <c r="J100" s="86"/>
      <c r="K100" s="86"/>
      <c r="L100" s="86"/>
      <c r="M100" s="86">
        <f>+M90*0.28</f>
        <v>152.60000000000002</v>
      </c>
      <c r="N100" s="86"/>
      <c r="O100" s="87">
        <f>+O90*0.27</f>
        <v>162.27000000000001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2025-01-24T09:23:21Z</dcterms:created>
  <dcterms:modified xsi:type="dcterms:W3CDTF">2025-01-24T18:03:01Z</dcterms:modified>
</cp:coreProperties>
</file>