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4C26EE71-C8E0-44A9-AE8A-55B3E96A5D89}" xr6:coauthVersionLast="47" xr6:coauthVersionMax="47" xr10:uidLastSave="{00000000-0000-0000-0000-000000000000}"/>
  <bookViews>
    <workbookView xWindow="150" yWindow="105" windowWidth="13995" windowHeight="15300" activeTab="1" xr2:uid="{2368C8E0-504D-4781-9A33-0B25B007880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AF3" i="2"/>
  <c r="AG3" i="2" s="1"/>
  <c r="AH3" i="2" s="1"/>
  <c r="AI3" i="2" s="1"/>
  <c r="AJ3" i="2" s="1"/>
  <c r="AK3" i="2" s="1"/>
  <c r="AL3" i="2" s="1"/>
  <c r="AM3" i="2" s="1"/>
  <c r="AN3" i="2" s="1"/>
  <c r="AE3" i="2"/>
  <c r="S25" i="2"/>
  <c r="AD25" i="2" s="1"/>
  <c r="AC15" i="2"/>
  <c r="N12" i="2"/>
  <c r="N7" i="2"/>
  <c r="N6" i="2"/>
  <c r="N4" i="2"/>
  <c r="N3" i="2"/>
  <c r="N5" i="2" s="1"/>
  <c r="N17" i="2" s="1"/>
  <c r="AD15" i="2"/>
  <c r="R12" i="2"/>
  <c r="R7" i="2"/>
  <c r="R6" i="2"/>
  <c r="R4" i="2"/>
  <c r="R3" i="2"/>
  <c r="R5" i="2" s="1"/>
  <c r="R17" i="2" s="1"/>
  <c r="K10" i="2"/>
  <c r="K22" i="2"/>
  <c r="K8" i="2"/>
  <c r="K5" i="2"/>
  <c r="AB10" i="2"/>
  <c r="AB22" i="2"/>
  <c r="AB8" i="2"/>
  <c r="AB5" i="2"/>
  <c r="AC10" i="2"/>
  <c r="AC22" i="2"/>
  <c r="AC8" i="2"/>
  <c r="AC5" i="2"/>
  <c r="AD22" i="2"/>
  <c r="AD10" i="2"/>
  <c r="AD8" i="2"/>
  <c r="AD5" i="2"/>
  <c r="M10" i="2"/>
  <c r="M22" i="2"/>
  <c r="M8" i="2"/>
  <c r="M5" i="2"/>
  <c r="Q10" i="2"/>
  <c r="Q22" i="2"/>
  <c r="Q8" i="2"/>
  <c r="Q5" i="2"/>
  <c r="Q17" i="2" s="1"/>
  <c r="L10" i="2"/>
  <c r="L22" i="2"/>
  <c r="L8" i="2"/>
  <c r="L5" i="2"/>
  <c r="L17" i="2" s="1"/>
  <c r="P10" i="2"/>
  <c r="P22" i="2"/>
  <c r="P8" i="2"/>
  <c r="P5" i="2"/>
  <c r="O10" i="2"/>
  <c r="O22" i="2"/>
  <c r="O8" i="2"/>
  <c r="O5" i="2"/>
  <c r="S22" i="2"/>
  <c r="S10" i="2"/>
  <c r="S8" i="2"/>
  <c r="S5" i="2"/>
  <c r="S17" i="2" s="1"/>
  <c r="AE9" i="2" l="1"/>
  <c r="AE18" i="2" s="1"/>
  <c r="AF9" i="2"/>
  <c r="AF18" i="2" s="1"/>
  <c r="AE10" i="2"/>
  <c r="AQ21" i="2"/>
  <c r="S9" i="2"/>
  <c r="S18" i="2" s="1"/>
  <c r="R10" i="2"/>
  <c r="S24" i="2" s="1"/>
  <c r="AE22" i="2"/>
  <c r="N10" i="2"/>
  <c r="R8" i="2"/>
  <c r="R9" i="2" s="1"/>
  <c r="AE5" i="2"/>
  <c r="AE4" i="2" s="1"/>
  <c r="AF22" i="2"/>
  <c r="M9" i="2"/>
  <c r="M11" i="2" s="1"/>
  <c r="AF5" i="2"/>
  <c r="AF17" i="2" s="1"/>
  <c r="AG22" i="2"/>
  <c r="R18" i="2"/>
  <c r="R22" i="2"/>
  <c r="S11" i="2"/>
  <c r="N22" i="2"/>
  <c r="N8" i="2"/>
  <c r="N9" i="2" s="1"/>
  <c r="K9" i="2"/>
  <c r="K11" i="2" s="1"/>
  <c r="K17" i="2"/>
  <c r="AB9" i="2"/>
  <c r="AB11" i="2" s="1"/>
  <c r="AB17" i="2"/>
  <c r="AC9" i="2"/>
  <c r="AC18" i="2"/>
  <c r="AC11" i="2"/>
  <c r="AC17" i="2"/>
  <c r="AD9" i="2"/>
  <c r="AD11" i="2" s="1"/>
  <c r="AD17" i="2"/>
  <c r="M17" i="2"/>
  <c r="Q9" i="2"/>
  <c r="L9" i="2"/>
  <c r="P9" i="2"/>
  <c r="P11" i="2" s="1"/>
  <c r="P17" i="2"/>
  <c r="O9" i="2"/>
  <c r="O11" i="2" s="1"/>
  <c r="O17" i="2"/>
  <c r="L8" i="1"/>
  <c r="L5" i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E11" i="2" l="1"/>
  <c r="AG9" i="2"/>
  <c r="AG18" i="2" s="1"/>
  <c r="AG5" i="2"/>
  <c r="AF8" i="2"/>
  <c r="AE8" i="2"/>
  <c r="AE17" i="2"/>
  <c r="AE12" i="2"/>
  <c r="AE20" i="2" s="1"/>
  <c r="M18" i="2"/>
  <c r="AF4" i="2"/>
  <c r="R11" i="2"/>
  <c r="O18" i="2"/>
  <c r="S13" i="2"/>
  <c r="S20" i="2"/>
  <c r="N18" i="2"/>
  <c r="N11" i="2"/>
  <c r="K18" i="2"/>
  <c r="K13" i="2"/>
  <c r="K20" i="2"/>
  <c r="AB18" i="2"/>
  <c r="AB20" i="2"/>
  <c r="AB13" i="2"/>
  <c r="AC20" i="2"/>
  <c r="AC13" i="2"/>
  <c r="AD18" i="2"/>
  <c r="AD20" i="2"/>
  <c r="AD13" i="2"/>
  <c r="M20" i="2"/>
  <c r="M13" i="2"/>
  <c r="Q11" i="2"/>
  <c r="Q18" i="2"/>
  <c r="L11" i="2"/>
  <c r="L18" i="2"/>
  <c r="P18" i="2"/>
  <c r="P20" i="2"/>
  <c r="P13" i="2"/>
  <c r="O20" i="2"/>
  <c r="O13" i="2"/>
  <c r="AG4" i="2" l="1"/>
  <c r="AG8" i="2"/>
  <c r="AG17" i="2"/>
  <c r="AH22" i="2"/>
  <c r="AH5" i="2"/>
  <c r="AH9" i="2"/>
  <c r="AH18" i="2" s="1"/>
  <c r="AH4" i="2"/>
  <c r="AE13" i="2"/>
  <c r="R13" i="2"/>
  <c r="R20" i="2"/>
  <c r="S19" i="2"/>
  <c r="S14" i="2"/>
  <c r="N13" i="2"/>
  <c r="N20" i="2"/>
  <c r="K19" i="2"/>
  <c r="K14" i="2"/>
  <c r="AB19" i="2"/>
  <c r="AB14" i="2"/>
  <c r="AC19" i="2"/>
  <c r="AC14" i="2"/>
  <c r="AD19" i="2"/>
  <c r="AD14" i="2"/>
  <c r="M19" i="2"/>
  <c r="M14" i="2"/>
  <c r="Q20" i="2"/>
  <c r="Q13" i="2"/>
  <c r="L20" i="2"/>
  <c r="L13" i="2"/>
  <c r="P19" i="2"/>
  <c r="P14" i="2"/>
  <c r="O19" i="2"/>
  <c r="O14" i="2"/>
  <c r="AI22" i="2" l="1"/>
  <c r="AI5" i="2"/>
  <c r="AI4" i="2"/>
  <c r="AI9" i="2"/>
  <c r="AI18" i="2" s="1"/>
  <c r="AH17" i="2"/>
  <c r="AH8" i="2"/>
  <c r="R14" i="2"/>
  <c r="R19" i="2"/>
  <c r="AE19" i="2"/>
  <c r="AE25" i="2"/>
  <c r="AF10" i="2" s="1"/>
  <c r="AF11" i="2" s="1"/>
  <c r="N19" i="2"/>
  <c r="N14" i="2"/>
  <c r="Q19" i="2"/>
  <c r="Q14" i="2"/>
  <c r="L19" i="2"/>
  <c r="L14" i="2"/>
  <c r="AI17" i="2" l="1"/>
  <c r="AI8" i="2"/>
  <c r="AJ22" i="2"/>
  <c r="AJ5" i="2"/>
  <c r="AJ4" i="2" s="1"/>
  <c r="AJ9" i="2"/>
  <c r="AJ18" i="2" s="1"/>
  <c r="AF12" i="2"/>
  <c r="AF20" i="2" s="1"/>
  <c r="AJ17" i="2" l="1"/>
  <c r="AJ8" i="2"/>
  <c r="AK22" i="2"/>
  <c r="AK9" i="2"/>
  <c r="AK18" i="2" s="1"/>
  <c r="AK5" i="2"/>
  <c r="AF13" i="2"/>
  <c r="AK17" i="2" l="1"/>
  <c r="AK8" i="2"/>
  <c r="AK4" i="2"/>
  <c r="AL5" i="2"/>
  <c r="AL22" i="2"/>
  <c r="AL9" i="2"/>
  <c r="AL18" i="2" s="1"/>
  <c r="AL4" i="2"/>
  <c r="AF25" i="2"/>
  <c r="AG10" i="2" s="1"/>
  <c r="AG11" i="2" s="1"/>
  <c r="AG12" i="2" s="1"/>
  <c r="AF19" i="2"/>
  <c r="AL17" i="2" l="1"/>
  <c r="AL8" i="2"/>
  <c r="AM22" i="2"/>
  <c r="AM5" i="2"/>
  <c r="AM9" i="2"/>
  <c r="AM18" i="2" s="1"/>
  <c r="AM4" i="2"/>
  <c r="AG13" i="2"/>
  <c r="AG20" i="2"/>
  <c r="AM8" i="2" l="1"/>
  <c r="AM17" i="2"/>
  <c r="AN9" i="2"/>
  <c r="AN18" i="2" s="1"/>
  <c r="AN5" i="2"/>
  <c r="AN22" i="2"/>
  <c r="AN4" i="2"/>
  <c r="AG25" i="2"/>
  <c r="AH10" i="2" s="1"/>
  <c r="AH11" i="2" s="1"/>
  <c r="AH12" i="2" s="1"/>
  <c r="AG19" i="2"/>
  <c r="AN8" i="2" l="1"/>
  <c r="AN17" i="2"/>
  <c r="AH13" i="2"/>
  <c r="AH20" i="2"/>
  <c r="AH25" i="2" l="1"/>
  <c r="AI10" i="2" s="1"/>
  <c r="AI11" i="2" s="1"/>
  <c r="AI12" i="2" s="1"/>
  <c r="AH19" i="2"/>
  <c r="AI13" i="2" l="1"/>
  <c r="AI20" i="2"/>
  <c r="AI25" i="2" l="1"/>
  <c r="AJ10" i="2" s="1"/>
  <c r="AJ11" i="2" s="1"/>
  <c r="AJ12" i="2" s="1"/>
  <c r="AI19" i="2"/>
  <c r="AJ13" i="2" l="1"/>
  <c r="AJ20" i="2"/>
  <c r="AJ25" i="2" l="1"/>
  <c r="AK10" i="2" s="1"/>
  <c r="AK11" i="2" s="1"/>
  <c r="AK12" i="2" s="1"/>
  <c r="AJ19" i="2"/>
  <c r="AK13" i="2" l="1"/>
  <c r="AK20" i="2"/>
  <c r="AK25" i="2" l="1"/>
  <c r="AL10" i="2" s="1"/>
  <c r="AL11" i="2" s="1"/>
  <c r="AL12" i="2" s="1"/>
  <c r="AK19" i="2"/>
  <c r="AL13" i="2" l="1"/>
  <c r="AL20" i="2"/>
  <c r="AL25" i="2" l="1"/>
  <c r="AM10" i="2" s="1"/>
  <c r="AM11" i="2" s="1"/>
  <c r="AM12" i="2" s="1"/>
  <c r="AL19" i="2"/>
  <c r="AM13" i="2" l="1"/>
  <c r="AM20" i="2"/>
  <c r="AM25" i="2" l="1"/>
  <c r="AN10" i="2" s="1"/>
  <c r="AN11" i="2" s="1"/>
  <c r="AN12" i="2" s="1"/>
  <c r="AM19" i="2"/>
  <c r="AN13" i="2" l="1"/>
  <c r="AN20" i="2"/>
  <c r="AN25" i="2" l="1"/>
  <c r="AN19" i="2"/>
  <c r="AO13" i="2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AQ20" i="2" s="1"/>
  <c r="AQ22" i="2" s="1"/>
  <c r="AQ23" i="2" s="1"/>
  <c r="AQ25" i="2" s="1"/>
</calcChain>
</file>

<file path=xl/sharedStrings.xml><?xml version="1.0" encoding="utf-8"?>
<sst xmlns="http://schemas.openxmlformats.org/spreadsheetml/2006/main" count="51" uniqueCount="48">
  <si>
    <t>Revenue</t>
  </si>
  <si>
    <t>COGS</t>
  </si>
  <si>
    <t>Gross profit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</si>
  <si>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</si>
  <si>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</si>
  <si>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</si>
  <si>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</si>
  <si>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</si>
  <si>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</si>
  <si>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</si>
  <si>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</si>
  <si>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</si>
  <si>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</si>
  <si>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</si>
  <si>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</si>
  <si>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</si>
  <si>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Q121</t>
  </si>
  <si>
    <t>Q222</t>
  </si>
  <si>
    <t>Q322</t>
  </si>
  <si>
    <t>Q221</t>
  </si>
  <si>
    <t>Q321</t>
  </si>
  <si>
    <t>Q421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</si>
  <si>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</si>
  <si>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</si>
  <si>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</si>
  <si>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</si>
  <si>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</si>
  <si>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</si>
  <si>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</si>
  <si>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</si>
  <si>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</si>
  <si>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</si>
  <si>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</si>
  <si>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</si>
  <si>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</si>
  <si>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</si>
  <si>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</si>
  <si>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Q125</t>
  </si>
  <si>
    <t>G&amp;A</t>
  </si>
  <si>
    <t>S&amp;M</t>
  </si>
  <si>
    <t>Net cash</t>
  </si>
  <si>
    <t>ROIC</t>
  </si>
  <si>
    <t>Terminal</t>
  </si>
  <si>
    <t>Discount</t>
  </si>
  <si>
    <t>NPV</t>
  </si>
  <si>
    <t>Value</t>
  </si>
  <si>
    <t>Current</t>
  </si>
  <si>
    <t>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</si>
</sst>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d/mm/yy;@"/>
    <numFmt numFmtId="168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3" fontId="0" fillId="0" borderId="0" xfId="0" applyNumberFormat="1" applyFont="1"/>
    <xf numFmtId="9" fontId="0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0</xdr:row>
      <xdr:rowOff>0</xdr:rowOff>
    </xdr:from>
    <xdr:to>
      <xdr:col>19</xdr:col>
      <xdr:colOff>38100</xdr:colOff>
      <xdr:row>36</xdr:row>
      <xdr:rowOff>9525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5D818683-C807-6FF6-C9AA-D0AA2A6BF2A0}"/>
            </a:ext>
          </a:extLst>
        </xdr:cNvPr>
        <xdr:cNvCxnSpPr/>
      </xdr:nvCxnSpPr>
      <xdr:spPr>
        <a:xfrm>
          <a:off x="11515725" y="0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0</xdr:row>
      <xdr:rowOff>0</xdr:rowOff>
    </xdr:from>
    <xdr:to>
      <xdr:col>30</xdr:col>
      <xdr:colOff>38100</xdr:colOff>
      <xdr:row>36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76E7586-27FD-428C-ACDC-FE37FE622285}"/>
            </a:ext>
          </a:extLst>
        </xdr:cNvPr>
        <xdr:cNvCxnSpPr/>
      </xdr:nvCxnSpPr>
      <xdr:spPr>
        <a:xfrm>
          <a:off x="18221325" y="0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6676D-8F88-43B8-BAAD-D5F4978191ED}">
  <dimension ref="K3:L10"/>
  <sheetViews>
    <sheetView workbookViewId="0">
      <selection activeCell="L8" sqref="L8"/>
    </sheetView>
  </sheetViews>
  <sheetFormatPr defaultRowHeight="12.75" x14ac:dyDescent="0.2"/>
  <sheetData>
    <row r="3" spans="11:12" x14ac:dyDescent="0.2">
      <c r="K3" t="s">
        <v>32</v>
      </c>
      <c r="L3" s="5">
        <v>37.5</v>
      </c>
    </row>
    <row r="4" spans="11:12" x14ac:dyDescent="0.2">
      <c r="K4" t="s">
        <v>10</v>
      </c>
      <c r="L4" s="1">
        <v>101.032444</v>
      </c>
    </row>
    <row r="5" spans="11:12" x14ac:dyDescent="0.2">
      <c r="K5" t="s">
        <v>33</v>
      </c>
      <c r="L5" s="1">
        <f>+L3*L4</f>
        <v>3788.7166499999998</v>
      </c>
    </row>
    <row r="6" spans="11:12" x14ac:dyDescent="0.2">
      <c r="K6" t="s">
        <v>34</v>
      </c>
      <c r="L6" s="1">
        <v>121.759</v>
      </c>
    </row>
    <row r="7" spans="11:12" x14ac:dyDescent="0.2">
      <c r="K7" t="s">
        <v>35</v>
      </c>
      <c r="L7" s="1">
        <v>347.99</v>
      </c>
    </row>
    <row r="8" spans="11:12" x14ac:dyDescent="0.2">
      <c r="K8" t="s">
        <v>36</v>
      </c>
      <c r="L8" s="1">
        <f>+L5-L6+L7</f>
        <v>4014.9476500000001</v>
      </c>
    </row>
    <row r="9" spans="11:12" x14ac:dyDescent="0.2">
      <c r="L9" s="1">
        <v>173</v>
      </c>
    </row>
    <row r="10" spans="11:12" x14ac:dyDescent="0.2">
      <c r="L10" s="11">
        <f>+L8/L9</f>
        <v>23.207789884393065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3677-CCAD-4B74-960F-C1FBD831A16B}">
  <dimension ref="B1:EK25"/>
  <sheetViews>
    <sheetView tabSelected="1" workbookViewId="0">
      <pane xSplit="2" ySplit="2" topLeftCell="M3" activePane="bottomRight" state="frozen"/>
      <selection pane="topRight" activeCell="B1" sqref="B1"/>
      <selection pane="bottomLeft" activeCell="A3" sqref="A3"/>
      <selection pane="bottomRight" activeCell="V20" sqref="V20"/>
    </sheetView>
  </sheetViews>
  <sheetFormatPr defaultRowHeight="12.75" x14ac:dyDescent="0.2"/>
  <cols>
    <col min="1" max="1" width="2.5703125" style="1" customWidth="1"/>
    <col min="2" max="2" width="16.7109375" style="1" bestFit="1" customWidth="1"/>
    <col min="3" max="16384" width="9.140625" style="1"/>
  </cols>
  <sheetData>
    <row r="1" spans="2:141" s="8" customFormat="1" x14ac:dyDescent="0.2">
      <c r="K1" s="8">
        <v>45255</v>
      </c>
      <c r="L1" s="8">
        <v>44982</v>
      </c>
      <c r="M1" s="8">
        <v>45073</v>
      </c>
      <c r="N1" s="8">
        <v>45164</v>
      </c>
      <c r="O1" s="8">
        <v>45255</v>
      </c>
      <c r="P1" s="8">
        <v>45346</v>
      </c>
      <c r="Q1" s="8">
        <v>45437</v>
      </c>
      <c r="R1" s="8">
        <v>45535</v>
      </c>
      <c r="S1" s="8">
        <v>45626</v>
      </c>
      <c r="AB1" s="8">
        <v>44800</v>
      </c>
      <c r="AC1" s="8">
        <v>45164</v>
      </c>
      <c r="AD1" s="8">
        <v>45535</v>
      </c>
    </row>
    <row r="2" spans="2:141" x14ac:dyDescent="0.2">
      <c r="B2" s="3"/>
      <c r="C2" s="3" t="s">
        <v>16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17</v>
      </c>
      <c r="I2" s="3" t="s">
        <v>18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  <c r="O2" s="3" t="s">
        <v>28</v>
      </c>
      <c r="P2" s="3" t="s">
        <v>29</v>
      </c>
      <c r="Q2" s="3" t="s">
        <v>30</v>
      </c>
      <c r="R2" s="3" t="s">
        <v>31</v>
      </c>
      <c r="S2" s="3" t="s">
        <v>37</v>
      </c>
      <c r="T2" s="2">
        <v>2014</v>
      </c>
      <c r="U2" s="2">
        <f>+T2+1</f>
        <v>2015</v>
      </c>
      <c r="V2" s="2">
        <f t="shared" ref="V2:AO2" si="0">+U2+1</f>
        <v>2016</v>
      </c>
      <c r="W2" s="2">
        <f t="shared" si="0"/>
        <v>2017</v>
      </c>
      <c r="X2" s="2">
        <f t="shared" si="0"/>
        <v>2018</v>
      </c>
      <c r="Y2" s="2">
        <f t="shared" si="0"/>
        <v>2019</v>
      </c>
      <c r="Z2" s="2">
        <f t="shared" si="0"/>
        <v>2020</v>
      </c>
      <c r="AA2" s="2">
        <f t="shared" si="0"/>
        <v>2021</v>
      </c>
      <c r="AB2" s="2">
        <f t="shared" si="0"/>
        <v>2022</v>
      </c>
      <c r="AC2" s="2">
        <f t="shared" si="0"/>
        <v>2023</v>
      </c>
      <c r="AD2" s="2">
        <f t="shared" si="0"/>
        <v>2024</v>
      </c>
      <c r="AE2" s="2">
        <f t="shared" si="0"/>
        <v>2025</v>
      </c>
      <c r="AF2" s="2">
        <f t="shared" si="0"/>
        <v>2026</v>
      </c>
      <c r="AG2" s="2">
        <f t="shared" si="0"/>
        <v>2027</v>
      </c>
      <c r="AH2" s="2">
        <f t="shared" si="0"/>
        <v>2028</v>
      </c>
      <c r="AI2" s="2">
        <f t="shared" si="0"/>
        <v>2029</v>
      </c>
      <c r="AJ2" s="2">
        <f t="shared" si="0"/>
        <v>2030</v>
      </c>
      <c r="AK2" s="2">
        <f t="shared" si="0"/>
        <v>2031</v>
      </c>
      <c r="AL2" s="2">
        <f t="shared" si="0"/>
        <v>2032</v>
      </c>
      <c r="AM2" s="2">
        <f t="shared" si="0"/>
        <v>2033</v>
      </c>
      <c r="AN2" s="2">
        <f t="shared" si="0"/>
        <v>2034</v>
      </c>
    </row>
    <row r="3" spans="2:141" s="6" customFormat="1" x14ac:dyDescent="0.2">
      <c r="B3" s="6" t="s">
        <v>0</v>
      </c>
      <c r="K3" s="6">
        <v>308.678</v>
      </c>
      <c r="L3" s="6">
        <v>296.584</v>
      </c>
      <c r="M3" s="6">
        <v>324.79199999999997</v>
      </c>
      <c r="N3" s="6">
        <f>+AC3-SUM(K3:M3)</f>
        <v>312.61800000000017</v>
      </c>
      <c r="O3" s="6">
        <v>308.678</v>
      </c>
      <c r="P3" s="6">
        <v>312.19900000000001</v>
      </c>
      <c r="Q3" s="6">
        <v>334.75700000000001</v>
      </c>
      <c r="R3" s="6">
        <f>+AD3-SUM(O3:Q3)</f>
        <v>375.6869999999999</v>
      </c>
      <c r="S3" s="6">
        <v>341.26799999999997</v>
      </c>
      <c r="AB3" s="6">
        <v>1168.6780000000001</v>
      </c>
      <c r="AC3" s="6">
        <v>1242.672</v>
      </c>
      <c r="AD3" s="6">
        <v>1331.3209999999999</v>
      </c>
      <c r="AE3" s="6">
        <f>+AD3*1.1</f>
        <v>1464.4530999999999</v>
      </c>
      <c r="AF3" s="6">
        <f t="shared" ref="AF3:AN3" si="1">+AE3*1.1</f>
        <v>1610.89841</v>
      </c>
      <c r="AG3" s="6">
        <f t="shared" si="1"/>
        <v>1771.9882510000002</v>
      </c>
      <c r="AH3" s="6">
        <f t="shared" si="1"/>
        <v>1949.1870761000005</v>
      </c>
      <c r="AI3" s="6">
        <f t="shared" si="1"/>
        <v>2144.1057837100007</v>
      </c>
      <c r="AJ3" s="6">
        <f t="shared" si="1"/>
        <v>2358.5163620810008</v>
      </c>
      <c r="AK3" s="6">
        <f t="shared" si="1"/>
        <v>2594.3679982891013</v>
      </c>
      <c r="AL3" s="6">
        <f t="shared" si="1"/>
        <v>2853.8047981180116</v>
      </c>
      <c r="AM3" s="6">
        <f t="shared" si="1"/>
        <v>3139.1852779298129</v>
      </c>
      <c r="AN3" s="6">
        <f t="shared" si="1"/>
        <v>3453.1038057227943</v>
      </c>
    </row>
    <row r="4" spans="2:141" x14ac:dyDescent="0.2">
      <c r="B4" s="1" t="s">
        <v>1</v>
      </c>
      <c r="K4" s="1">
        <v>193.56</v>
      </c>
      <c r="L4" s="1">
        <v>193.852</v>
      </c>
      <c r="M4" s="1">
        <v>205.54599999999999</v>
      </c>
      <c r="N4" s="9">
        <f>+AC4-SUM(K4:M4)</f>
        <v>196.29399999999987</v>
      </c>
      <c r="O4" s="1">
        <v>193.56</v>
      </c>
      <c r="P4" s="1">
        <v>195.32900000000001</v>
      </c>
      <c r="Q4" s="1">
        <v>201.131</v>
      </c>
      <c r="R4" s="9">
        <f>+AD4-SUM(O4:Q4)</f>
        <v>229.73500000000001</v>
      </c>
      <c r="S4" s="1">
        <v>210.78200000000001</v>
      </c>
      <c r="AB4" s="1">
        <v>723.11699999999996</v>
      </c>
      <c r="AC4" s="1">
        <v>789.25199999999995</v>
      </c>
      <c r="AD4" s="1">
        <v>819.755</v>
      </c>
      <c r="AE4" s="1">
        <f>+AE3-AE5</f>
        <v>907.96092199999998</v>
      </c>
      <c r="AF4" s="1">
        <f t="shared" ref="AF4:AN4" si="2">+AF3-AF5</f>
        <v>998.75701419999996</v>
      </c>
      <c r="AG4" s="1">
        <f t="shared" si="2"/>
        <v>1098.63271562</v>
      </c>
      <c r="AH4" s="1">
        <f t="shared" si="2"/>
        <v>1208.4959871820001</v>
      </c>
      <c r="AI4" s="1">
        <f t="shared" si="2"/>
        <v>1329.3455859002004</v>
      </c>
      <c r="AJ4" s="1">
        <f t="shared" si="2"/>
        <v>1462.2801444902204</v>
      </c>
      <c r="AK4" s="1">
        <f t="shared" si="2"/>
        <v>1608.5081589392428</v>
      </c>
      <c r="AL4" s="1">
        <f t="shared" si="2"/>
        <v>1769.3589748331672</v>
      </c>
      <c r="AM4" s="1">
        <f t="shared" si="2"/>
        <v>1946.2948723164839</v>
      </c>
      <c r="AN4" s="1">
        <f t="shared" si="2"/>
        <v>2140.9243595481325</v>
      </c>
    </row>
    <row r="5" spans="2:141" x14ac:dyDescent="0.2">
      <c r="B5" s="1" t="s">
        <v>2</v>
      </c>
      <c r="K5" s="1">
        <f>+K3-K4</f>
        <v>115.11799999999999</v>
      </c>
      <c r="L5" s="1">
        <f>+L3-L4</f>
        <v>102.732</v>
      </c>
      <c r="M5" s="1">
        <f>+M3-M4</f>
        <v>119.24599999999998</v>
      </c>
      <c r="N5" s="1">
        <f>+N3-N4</f>
        <v>116.3240000000003</v>
      </c>
      <c r="O5" s="1">
        <f>+O3-O4</f>
        <v>115.11799999999999</v>
      </c>
      <c r="P5" s="1">
        <f>+P3-P4</f>
        <v>116.87</v>
      </c>
      <c r="Q5" s="1">
        <f>+Q3-Q4</f>
        <v>133.626</v>
      </c>
      <c r="R5" s="1">
        <f>+R3-R4</f>
        <v>145.95199999999988</v>
      </c>
      <c r="S5" s="1">
        <f>+S3-S4</f>
        <v>130.48599999999996</v>
      </c>
      <c r="AB5" s="1">
        <f>+AB3-AB4</f>
        <v>445.56100000000015</v>
      </c>
      <c r="AC5" s="1">
        <f>+AC3-AC4</f>
        <v>453.42000000000007</v>
      </c>
      <c r="AD5" s="1">
        <f>+AD3-AD4</f>
        <v>511.56599999999992</v>
      </c>
      <c r="AE5" s="1">
        <f>+AE3*0.38</f>
        <v>556.49217799999997</v>
      </c>
      <c r="AF5" s="1">
        <f t="shared" ref="AF5:AN5" si="3">+AF3*0.38</f>
        <v>612.14139580000005</v>
      </c>
      <c r="AG5" s="1">
        <f t="shared" si="3"/>
        <v>673.35553538000011</v>
      </c>
      <c r="AH5" s="1">
        <f t="shared" si="3"/>
        <v>740.69108891800022</v>
      </c>
      <c r="AI5" s="1">
        <f t="shared" si="3"/>
        <v>814.76019780980027</v>
      </c>
      <c r="AJ5" s="1">
        <f t="shared" si="3"/>
        <v>896.23621759078037</v>
      </c>
      <c r="AK5" s="1">
        <f t="shared" si="3"/>
        <v>985.85983934985848</v>
      </c>
      <c r="AL5" s="1">
        <f t="shared" si="3"/>
        <v>1084.4458232848444</v>
      </c>
      <c r="AM5" s="1">
        <f t="shared" si="3"/>
        <v>1192.890405613329</v>
      </c>
      <c r="AN5" s="1">
        <f t="shared" si="3"/>
        <v>1312.1794461746617</v>
      </c>
    </row>
    <row r="6" spans="2:141" x14ac:dyDescent="0.2">
      <c r="B6" s="1" t="s">
        <v>39</v>
      </c>
      <c r="K6" s="1">
        <v>31.99</v>
      </c>
      <c r="L6" s="1">
        <v>29.948</v>
      </c>
      <c r="M6" s="1">
        <v>30.167999999999999</v>
      </c>
      <c r="N6" s="9">
        <f>+AC6-SUM(K6:M6)</f>
        <v>27.38300000000001</v>
      </c>
      <c r="O6" s="1">
        <v>31.99</v>
      </c>
      <c r="P6" s="1">
        <v>34.643000000000001</v>
      </c>
      <c r="Q6" s="1">
        <v>36.463999999999999</v>
      </c>
      <c r="R6" s="9">
        <f t="shared" ref="R6:R7" si="4">+AD6-SUM(O6:Q6)</f>
        <v>40.832000000000008</v>
      </c>
      <c r="S6" s="1">
        <v>32.994</v>
      </c>
      <c r="AB6" s="1">
        <v>121.685</v>
      </c>
      <c r="AC6" s="1">
        <v>119.489</v>
      </c>
      <c r="AD6" s="1">
        <v>143.929</v>
      </c>
    </row>
    <row r="7" spans="2:141" x14ac:dyDescent="0.2">
      <c r="B7" s="1" t="s">
        <v>38</v>
      </c>
      <c r="K7" s="1">
        <v>26.95</v>
      </c>
      <c r="L7" s="1">
        <v>25.934000000000001</v>
      </c>
      <c r="M7" s="1">
        <v>30.51</v>
      </c>
      <c r="N7" s="9">
        <f>+AC7-SUM(K7:M7)</f>
        <v>28.171999999999997</v>
      </c>
      <c r="O7" s="1">
        <v>26.95</v>
      </c>
      <c r="P7" s="1">
        <v>29.933</v>
      </c>
      <c r="Q7" s="1">
        <v>31.542999999999999</v>
      </c>
      <c r="R7" s="9">
        <f t="shared" si="4"/>
        <v>41.273000000000025</v>
      </c>
      <c r="S7" s="1">
        <v>38.064</v>
      </c>
      <c r="AB7" s="1">
        <v>103.83199999999999</v>
      </c>
      <c r="AC7" s="1">
        <v>111.566</v>
      </c>
      <c r="AD7" s="1">
        <v>129.69900000000001</v>
      </c>
    </row>
    <row r="8" spans="2:141" x14ac:dyDescent="0.2">
      <c r="B8" s="1" t="s">
        <v>3</v>
      </c>
      <c r="K8" s="1">
        <f>+SUM(K6:K7)</f>
        <v>58.94</v>
      </c>
      <c r="L8" s="1">
        <f>+SUM(L6:L7)</f>
        <v>55.882000000000005</v>
      </c>
      <c r="M8" s="1">
        <f>+SUM(M6:M7)</f>
        <v>60.677999999999997</v>
      </c>
      <c r="N8" s="1">
        <f>+SUM(N6:N7)</f>
        <v>55.555000000000007</v>
      </c>
      <c r="O8" s="1">
        <f>+SUM(O6:O7)</f>
        <v>58.94</v>
      </c>
      <c r="P8" s="1">
        <f>+SUM(P6:P7)</f>
        <v>64.575999999999993</v>
      </c>
      <c r="Q8" s="1">
        <f>+SUM(Q6:Q7)</f>
        <v>68.007000000000005</v>
      </c>
      <c r="R8" s="1">
        <f>+SUM(R6:R7)</f>
        <v>82.105000000000032</v>
      </c>
      <c r="S8" s="1">
        <f>+SUM(S6:S7)</f>
        <v>71.057999999999993</v>
      </c>
      <c r="AB8" s="1">
        <f>+SUM(AB6:AB7)</f>
        <v>225.517</v>
      </c>
      <c r="AC8" s="1">
        <f>+SUM(AC6:AC7)</f>
        <v>231.05500000000001</v>
      </c>
      <c r="AD8" s="1">
        <f>+SUM(AD6:AD7)</f>
        <v>273.62800000000004</v>
      </c>
      <c r="AE8" s="1">
        <f>+AE5-AE9</f>
        <v>292.89062000000001</v>
      </c>
      <c r="AF8" s="1">
        <f t="shared" ref="AF8:AN8" si="5">+AF5-AF9</f>
        <v>322.17968200000007</v>
      </c>
      <c r="AG8" s="1">
        <f t="shared" si="5"/>
        <v>354.3976502000001</v>
      </c>
      <c r="AH8" s="1">
        <f t="shared" si="5"/>
        <v>389.83741522000014</v>
      </c>
      <c r="AI8" s="1">
        <f t="shared" si="5"/>
        <v>428.8211567420002</v>
      </c>
      <c r="AJ8" s="1">
        <f t="shared" si="5"/>
        <v>471.70327241620026</v>
      </c>
      <c r="AK8" s="1">
        <f t="shared" si="5"/>
        <v>518.87359965782025</v>
      </c>
      <c r="AL8" s="1">
        <f t="shared" si="5"/>
        <v>570.76095962360239</v>
      </c>
      <c r="AM8" s="1">
        <f t="shared" si="5"/>
        <v>627.83705558596273</v>
      </c>
      <c r="AN8" s="1">
        <f t="shared" si="5"/>
        <v>690.62076114455874</v>
      </c>
    </row>
    <row r="9" spans="2:141" x14ac:dyDescent="0.2">
      <c r="B9" s="1" t="s">
        <v>4</v>
      </c>
      <c r="K9" s="1">
        <f>+K5-K8</f>
        <v>56.177999999999997</v>
      </c>
      <c r="L9" s="1">
        <f>+L5-L8</f>
        <v>46.849999999999994</v>
      </c>
      <c r="M9" s="1">
        <f>+M5-M8</f>
        <v>58.567999999999984</v>
      </c>
      <c r="N9" s="1">
        <f>+N5-N8</f>
        <v>60.76900000000029</v>
      </c>
      <c r="O9" s="1">
        <f>+O5-O8</f>
        <v>56.177999999999997</v>
      </c>
      <c r="P9" s="1">
        <f>+P5-P8</f>
        <v>52.294000000000011</v>
      </c>
      <c r="Q9" s="1">
        <f>+Q5-Q8</f>
        <v>65.619</v>
      </c>
      <c r="R9" s="1">
        <f>+R5-R8</f>
        <v>63.846999999999852</v>
      </c>
      <c r="S9" s="1">
        <f>+S5-S8</f>
        <v>59.427999999999969</v>
      </c>
      <c r="AB9" s="1">
        <f>+AB5-AB8</f>
        <v>220.04400000000015</v>
      </c>
      <c r="AC9" s="1">
        <f>+AC5-AC8</f>
        <v>222.36500000000007</v>
      </c>
      <c r="AD9" s="1">
        <f>+AD5-AD8</f>
        <v>237.93799999999987</v>
      </c>
      <c r="AE9" s="1">
        <f>+AE3*0.18</f>
        <v>263.60155799999995</v>
      </c>
      <c r="AF9" s="1">
        <f t="shared" ref="AF9:AN9" si="6">+AF3*0.18</f>
        <v>289.96171379999998</v>
      </c>
      <c r="AG9" s="1">
        <f t="shared" si="6"/>
        <v>318.95788518000001</v>
      </c>
      <c r="AH9" s="1">
        <f t="shared" si="6"/>
        <v>350.85367369800008</v>
      </c>
      <c r="AI9" s="1">
        <f t="shared" si="6"/>
        <v>385.93904106780008</v>
      </c>
      <c r="AJ9" s="1">
        <f t="shared" si="6"/>
        <v>424.53294517458011</v>
      </c>
      <c r="AK9" s="1">
        <f t="shared" si="6"/>
        <v>466.98623969203823</v>
      </c>
      <c r="AL9" s="1">
        <f t="shared" si="6"/>
        <v>513.68486366124205</v>
      </c>
      <c r="AM9" s="1">
        <f t="shared" si="6"/>
        <v>565.05335002736626</v>
      </c>
      <c r="AN9" s="1">
        <f t="shared" si="6"/>
        <v>621.55868503010299</v>
      </c>
    </row>
    <row r="10" spans="2:141" x14ac:dyDescent="0.2">
      <c r="B10" s="1" t="s">
        <v>5</v>
      </c>
      <c r="K10" s="1">
        <f>1.09-6.034</f>
        <v>-4.944</v>
      </c>
      <c r="L10" s="1">
        <f>0.246-8.497</f>
        <v>-8.2509999999999994</v>
      </c>
      <c r="M10" s="1">
        <f>0.407-7.649</f>
        <v>-7.242</v>
      </c>
      <c r="N10" s="9">
        <f>+AC10-SUM(K10:M10)</f>
        <v>-8.4870000000000019</v>
      </c>
      <c r="O10" s="1">
        <f>1.09-6.034</f>
        <v>-4.944</v>
      </c>
      <c r="P10" s="1">
        <f>0.924-5.596</f>
        <v>-4.6719999999999997</v>
      </c>
      <c r="Q10" s="1">
        <f>0.881-5.028</f>
        <v>-4.1469999999999994</v>
      </c>
      <c r="R10" s="9">
        <f>+AD10-SUM(O10:Q10)</f>
        <v>-7.9590000000000032</v>
      </c>
      <c r="S10" s="1">
        <f>0.776-7.861</f>
        <v>-7.085</v>
      </c>
      <c r="AB10" s="1">
        <f>0.015-21.881</f>
        <v>-21.866</v>
      </c>
      <c r="AC10" s="1">
        <f>1.144-30.068</f>
        <v>-28.924000000000003</v>
      </c>
      <c r="AD10" s="1">
        <f>4.307-26.029</f>
        <v>-21.722000000000001</v>
      </c>
      <c r="AE10" s="1">
        <f>+AD25*0.11</f>
        <v>-24.88541</v>
      </c>
      <c r="AF10" s="1">
        <f t="shared" ref="AF10:AN10" si="7">+AE25*0.11</f>
        <v>-4.4035645016000036</v>
      </c>
      <c r="AG10" s="1">
        <f t="shared" si="7"/>
        <v>20.097324708202716</v>
      </c>
      <c r="AH10" s="1">
        <f t="shared" si="7"/>
        <v>49.188261716610512</v>
      </c>
      <c r="AI10" s="1">
        <f t="shared" si="7"/>
        <v>83.511859775184107</v>
      </c>
      <c r="AJ10" s="1">
        <f t="shared" si="7"/>
        <v>123.79074706751216</v>
      </c>
      <c r="AK10" s="1">
        <f t="shared" si="7"/>
        <v>170.83691986188367</v>
      </c>
      <c r="AL10" s="1">
        <f t="shared" si="7"/>
        <v>225.56214695161015</v>
      </c>
      <c r="AM10" s="1">
        <f t="shared" si="7"/>
        <v>288.98954046219285</v>
      </c>
      <c r="AN10" s="1">
        <f t="shared" si="7"/>
        <v>362.26642046619702</v>
      </c>
    </row>
    <row r="11" spans="2:141" x14ac:dyDescent="0.2">
      <c r="B11" s="1" t="s">
        <v>6</v>
      </c>
      <c r="K11" s="1">
        <f>+K9+K10</f>
        <v>51.233999999999995</v>
      </c>
      <c r="L11" s="1">
        <f>+L9+L10</f>
        <v>38.598999999999997</v>
      </c>
      <c r="M11" s="1">
        <f>+M9+M10</f>
        <v>51.325999999999986</v>
      </c>
      <c r="N11" s="1">
        <f>+N9+N10</f>
        <v>52.282000000000288</v>
      </c>
      <c r="O11" s="1">
        <f>+O9+O10</f>
        <v>51.233999999999995</v>
      </c>
      <c r="P11" s="1">
        <f>+P9+P10</f>
        <v>47.622000000000014</v>
      </c>
      <c r="Q11" s="1">
        <f>+Q9+Q10</f>
        <v>61.472000000000001</v>
      </c>
      <c r="R11" s="1">
        <f>+R9+R10</f>
        <v>55.887999999999849</v>
      </c>
      <c r="S11" s="1">
        <f>+S9+S10</f>
        <v>52.342999999999968</v>
      </c>
      <c r="AB11" s="1">
        <f>+AB9+AB10</f>
        <v>198.17800000000017</v>
      </c>
      <c r="AC11" s="1">
        <f>+AC9+AC10</f>
        <v>193.44100000000006</v>
      </c>
      <c r="AD11" s="1">
        <f>+AD9+AD10</f>
        <v>216.21599999999987</v>
      </c>
      <c r="AE11" s="1">
        <f t="shared" ref="AE11:AN11" si="8">+AE9+AE10</f>
        <v>238.71614799999995</v>
      </c>
      <c r="AF11" s="1">
        <f t="shared" si="8"/>
        <v>285.5581492984</v>
      </c>
      <c r="AG11" s="1">
        <f t="shared" si="8"/>
        <v>339.05520988820274</v>
      </c>
      <c r="AH11" s="1">
        <f t="shared" si="8"/>
        <v>400.04193541461058</v>
      </c>
      <c r="AI11" s="1">
        <f t="shared" si="8"/>
        <v>469.4509008429842</v>
      </c>
      <c r="AJ11" s="1">
        <f t="shared" si="8"/>
        <v>548.32369224209231</v>
      </c>
      <c r="AK11" s="1">
        <f t="shared" si="8"/>
        <v>637.82315955392187</v>
      </c>
      <c r="AL11" s="1">
        <f t="shared" si="8"/>
        <v>739.24701061285214</v>
      </c>
      <c r="AM11" s="1">
        <f t="shared" si="8"/>
        <v>854.04289048955911</v>
      </c>
      <c r="AN11" s="1">
        <f t="shared" si="8"/>
        <v>983.82510549630001</v>
      </c>
    </row>
    <row r="12" spans="2:141" x14ac:dyDescent="0.2">
      <c r="B12" s="1" t="s">
        <v>7</v>
      </c>
      <c r="K12" s="1">
        <v>11.547000000000001</v>
      </c>
      <c r="L12" s="1">
        <v>8.3979999999999997</v>
      </c>
      <c r="M12" s="1">
        <v>11.715999999999999</v>
      </c>
      <c r="N12" s="9">
        <f>+AC12-SUM(K12:M12)</f>
        <v>10.455999999999996</v>
      </c>
      <c r="O12" s="1">
        <v>11.547000000000001</v>
      </c>
      <c r="P12" s="1">
        <v>10.265000000000001</v>
      </c>
      <c r="Q12" s="1">
        <v>13.382999999999999</v>
      </c>
      <c r="R12" s="9">
        <f>+AD12-SUM(O12:Q12)</f>
        <v>11.545999999999999</v>
      </c>
      <c r="S12" s="1">
        <v>9.5530000000000008</v>
      </c>
      <c r="AB12" s="1">
        <v>41.994999999999997</v>
      </c>
      <c r="AC12" s="1">
        <v>42.116999999999997</v>
      </c>
      <c r="AD12" s="1">
        <v>46.741</v>
      </c>
      <c r="AE12" s="1">
        <f>+AE11*0.22</f>
        <v>52.517552559999992</v>
      </c>
      <c r="AF12" s="1">
        <f t="shared" ref="AF12:AN12" si="9">+AF11*0.22</f>
        <v>62.822792845648003</v>
      </c>
      <c r="AG12" s="1">
        <f t="shared" si="9"/>
        <v>74.592146175404608</v>
      </c>
      <c r="AH12" s="1">
        <f t="shared" si="9"/>
        <v>88.009225791214334</v>
      </c>
      <c r="AI12" s="1">
        <f t="shared" si="9"/>
        <v>103.27919818545652</v>
      </c>
      <c r="AJ12" s="1">
        <f t="shared" si="9"/>
        <v>120.6312122932603</v>
      </c>
      <c r="AK12" s="1">
        <f t="shared" si="9"/>
        <v>140.32109510186282</v>
      </c>
      <c r="AL12" s="1">
        <f t="shared" si="9"/>
        <v>162.63434233482747</v>
      </c>
      <c r="AM12" s="1">
        <f t="shared" si="9"/>
        <v>187.88943590770302</v>
      </c>
      <c r="AN12" s="1">
        <f t="shared" si="9"/>
        <v>216.44152320918602</v>
      </c>
    </row>
    <row r="13" spans="2:141" x14ac:dyDescent="0.2">
      <c r="B13" s="1" t="s">
        <v>8</v>
      </c>
      <c r="K13" s="1">
        <f>+K11-K12</f>
        <v>39.686999999999998</v>
      </c>
      <c r="L13" s="1">
        <f>+L11-L12</f>
        <v>30.200999999999997</v>
      </c>
      <c r="M13" s="1">
        <f>+M11-M12</f>
        <v>39.609999999999985</v>
      </c>
      <c r="N13" s="1">
        <f>+N11-N12</f>
        <v>41.826000000000292</v>
      </c>
      <c r="O13" s="1">
        <f>+O11-O12</f>
        <v>39.686999999999998</v>
      </c>
      <c r="P13" s="1">
        <f>+P11-P12</f>
        <v>37.357000000000014</v>
      </c>
      <c r="Q13" s="1">
        <f>+Q11-Q12</f>
        <v>48.088999999999999</v>
      </c>
      <c r="R13" s="1">
        <f>+R11-R12</f>
        <v>44.34199999999985</v>
      </c>
      <c r="S13" s="1">
        <f>+S11-S12</f>
        <v>42.789999999999964</v>
      </c>
      <c r="AB13" s="1">
        <f>+AB11-AB12</f>
        <v>156.18300000000016</v>
      </c>
      <c r="AC13" s="1">
        <f>+AC11-AC12</f>
        <v>151.32400000000007</v>
      </c>
      <c r="AD13" s="1">
        <f>+AD11-AD12</f>
        <v>169.47499999999985</v>
      </c>
      <c r="AE13" s="1">
        <f>+AE11-AE12</f>
        <v>186.19859543999996</v>
      </c>
      <c r="AF13" s="1">
        <f t="shared" ref="AF13:AN13" si="10">+AF11-AF12</f>
        <v>222.735356452752</v>
      </c>
      <c r="AG13" s="1">
        <f t="shared" si="10"/>
        <v>264.46306371279815</v>
      </c>
      <c r="AH13" s="1">
        <f t="shared" si="10"/>
        <v>312.03270962339627</v>
      </c>
      <c r="AI13" s="1">
        <f t="shared" si="10"/>
        <v>366.1717026575277</v>
      </c>
      <c r="AJ13" s="1">
        <f t="shared" si="10"/>
        <v>427.69247994883199</v>
      </c>
      <c r="AK13" s="1">
        <f t="shared" si="10"/>
        <v>497.50206445205902</v>
      </c>
      <c r="AL13" s="1">
        <f t="shared" si="10"/>
        <v>576.61266827802467</v>
      </c>
      <c r="AM13" s="1">
        <f t="shared" si="10"/>
        <v>666.15345458185607</v>
      </c>
      <c r="AN13" s="1">
        <f t="shared" si="10"/>
        <v>767.383582287114</v>
      </c>
      <c r="AO13" s="1">
        <f>+AN13*(1+$AQ$18)</f>
        <v>752.03591064137174</v>
      </c>
      <c r="AP13" s="1">
        <f t="shared" ref="AP13:DA13" si="11">+AO13*(1+$AQ$18)</f>
        <v>736.99519242854433</v>
      </c>
      <c r="AQ13" s="1">
        <f t="shared" si="11"/>
        <v>722.25528857997347</v>
      </c>
      <c r="AR13" s="1">
        <f t="shared" si="11"/>
        <v>707.81018280837395</v>
      </c>
      <c r="AS13" s="1">
        <f t="shared" si="11"/>
        <v>693.65397915220649</v>
      </c>
      <c r="AT13" s="1">
        <f t="shared" si="11"/>
        <v>679.78089956916233</v>
      </c>
      <c r="AU13" s="1">
        <f t="shared" si="11"/>
        <v>666.18528157777905</v>
      </c>
      <c r="AV13" s="1">
        <f t="shared" si="11"/>
        <v>652.86157594622341</v>
      </c>
      <c r="AW13" s="1">
        <f t="shared" si="11"/>
        <v>639.80434442729893</v>
      </c>
      <c r="AX13" s="1">
        <f t="shared" si="11"/>
        <v>627.0082575387529</v>
      </c>
      <c r="AY13" s="1">
        <f t="shared" si="11"/>
        <v>614.46809238797778</v>
      </c>
      <c r="AZ13" s="1">
        <f t="shared" si="11"/>
        <v>602.17873054021823</v>
      </c>
      <c r="BA13" s="1">
        <f t="shared" si="11"/>
        <v>590.13515592941383</v>
      </c>
      <c r="BB13" s="1">
        <f t="shared" si="11"/>
        <v>578.33245281082554</v>
      </c>
      <c r="BC13" s="1">
        <f t="shared" si="11"/>
        <v>566.76580375460901</v>
      </c>
      <c r="BD13" s="1">
        <f t="shared" si="11"/>
        <v>555.43048767951677</v>
      </c>
      <c r="BE13" s="1">
        <f t="shared" si="11"/>
        <v>544.3218779259264</v>
      </c>
      <c r="BF13" s="1">
        <f t="shared" si="11"/>
        <v>533.43544036740786</v>
      </c>
      <c r="BG13" s="1">
        <f t="shared" si="11"/>
        <v>522.76673156005972</v>
      </c>
      <c r="BH13" s="1">
        <f t="shared" si="11"/>
        <v>512.31139692885847</v>
      </c>
      <c r="BI13" s="1">
        <f t="shared" si="11"/>
        <v>502.06516899028128</v>
      </c>
      <c r="BJ13" s="1">
        <f t="shared" si="11"/>
        <v>492.02386561047564</v>
      </c>
      <c r="BK13" s="1">
        <f t="shared" si="11"/>
        <v>482.1833882982661</v>
      </c>
      <c r="BL13" s="1">
        <f t="shared" si="11"/>
        <v>472.53972053230075</v>
      </c>
      <c r="BM13" s="1">
        <f t="shared" si="11"/>
        <v>463.08892612165471</v>
      </c>
      <c r="BN13" s="1">
        <f t="shared" si="11"/>
        <v>453.82714759922163</v>
      </c>
      <c r="BO13" s="1">
        <f t="shared" si="11"/>
        <v>444.7506046472372</v>
      </c>
      <c r="BP13" s="1">
        <f t="shared" si="11"/>
        <v>435.85559255429246</v>
      </c>
      <c r="BQ13" s="1">
        <f t="shared" si="11"/>
        <v>427.1384807032066</v>
      </c>
      <c r="BR13" s="1">
        <f t="shared" si="11"/>
        <v>418.59571108914247</v>
      </c>
      <c r="BS13" s="1">
        <f t="shared" si="11"/>
        <v>410.22379686735962</v>
      </c>
      <c r="BT13" s="1">
        <f t="shared" si="11"/>
        <v>402.01932093001244</v>
      </c>
      <c r="BU13" s="1">
        <f t="shared" si="11"/>
        <v>393.97893451141221</v>
      </c>
      <c r="BV13" s="1">
        <f t="shared" si="11"/>
        <v>386.09935582118396</v>
      </c>
      <c r="BW13" s="1">
        <f t="shared" si="11"/>
        <v>378.37736870476027</v>
      </c>
      <c r="BX13" s="1">
        <f t="shared" si="11"/>
        <v>370.80982133066505</v>
      </c>
      <c r="BY13" s="1">
        <f t="shared" si="11"/>
        <v>363.39362490405176</v>
      </c>
      <c r="BZ13" s="1">
        <f t="shared" si="11"/>
        <v>356.12575240597073</v>
      </c>
      <c r="CA13" s="1">
        <f t="shared" si="11"/>
        <v>349.00323735785133</v>
      </c>
      <c r="CB13" s="1">
        <f t="shared" si="11"/>
        <v>342.0231726106943</v>
      </c>
      <c r="CC13" s="1">
        <f t="shared" si="11"/>
        <v>335.18270915848041</v>
      </c>
      <c r="CD13" s="1">
        <f t="shared" si="11"/>
        <v>328.47905497531082</v>
      </c>
      <c r="CE13" s="1">
        <f t="shared" si="11"/>
        <v>321.90947387580462</v>
      </c>
      <c r="CF13" s="1">
        <f t="shared" si="11"/>
        <v>315.4712843982885</v>
      </c>
      <c r="CG13" s="1">
        <f t="shared" si="11"/>
        <v>309.16185871032275</v>
      </c>
      <c r="CH13" s="1">
        <f t="shared" si="11"/>
        <v>302.97862153611629</v>
      </c>
      <c r="CI13" s="1">
        <f t="shared" si="11"/>
        <v>296.91904910539398</v>
      </c>
      <c r="CJ13" s="1">
        <f t="shared" si="11"/>
        <v>290.98066812328608</v>
      </c>
      <c r="CK13" s="1">
        <f t="shared" si="11"/>
        <v>285.16105476082038</v>
      </c>
      <c r="CL13" s="1">
        <f t="shared" si="11"/>
        <v>279.45783366560397</v>
      </c>
      <c r="CM13" s="1">
        <f t="shared" si="11"/>
        <v>273.86867699229191</v>
      </c>
      <c r="CN13" s="1">
        <f t="shared" si="11"/>
        <v>268.39130345244604</v>
      </c>
      <c r="CO13" s="1">
        <f t="shared" si="11"/>
        <v>263.02347738339711</v>
      </c>
      <c r="CP13" s="1">
        <f t="shared" si="11"/>
        <v>257.76300783572918</v>
      </c>
      <c r="CQ13" s="1">
        <f t="shared" si="11"/>
        <v>252.60774767901461</v>
      </c>
      <c r="CR13" s="1">
        <f t="shared" si="11"/>
        <v>247.55559272543431</v>
      </c>
      <c r="CS13" s="1">
        <f t="shared" si="11"/>
        <v>242.60448087092561</v>
      </c>
      <c r="CT13" s="1">
        <f t="shared" si="11"/>
        <v>237.75239125350708</v>
      </c>
      <c r="CU13" s="1">
        <f t="shared" si="11"/>
        <v>232.99734342843695</v>
      </c>
      <c r="CV13" s="1">
        <f t="shared" si="11"/>
        <v>228.33739655986821</v>
      </c>
      <c r="CW13" s="1">
        <f t="shared" si="11"/>
        <v>223.77064862867084</v>
      </c>
      <c r="CX13" s="1">
        <f t="shared" si="11"/>
        <v>219.29523565609742</v>
      </c>
      <c r="CY13" s="1">
        <f t="shared" si="11"/>
        <v>214.90933094297546</v>
      </c>
      <c r="CZ13" s="1">
        <f t="shared" si="11"/>
        <v>210.61114432411594</v>
      </c>
      <c r="DA13" s="1">
        <f t="shared" si="11"/>
        <v>206.39892143763362</v>
      </c>
      <c r="DB13" s="1">
        <f t="shared" ref="DB13:EK13" si="12">+DA13*(1+$AQ$18)</f>
        <v>202.27094300888095</v>
      </c>
      <c r="DC13" s="1">
        <f t="shared" si="12"/>
        <v>198.22552414870333</v>
      </c>
      <c r="DD13" s="1">
        <f t="shared" si="12"/>
        <v>194.26101366572925</v>
      </c>
      <c r="DE13" s="1">
        <f t="shared" si="12"/>
        <v>190.37579339241466</v>
      </c>
      <c r="DF13" s="1">
        <f t="shared" si="12"/>
        <v>186.56827752456635</v>
      </c>
      <c r="DG13" s="1">
        <f t="shared" si="12"/>
        <v>182.83691197407504</v>
      </c>
      <c r="DH13" s="1">
        <f t="shared" si="12"/>
        <v>179.18017373459352</v>
      </c>
      <c r="DI13" s="1">
        <f t="shared" si="12"/>
        <v>175.59657025990165</v>
      </c>
      <c r="DJ13" s="1">
        <f t="shared" si="12"/>
        <v>172.08463885470363</v>
      </c>
      <c r="DK13" s="1">
        <f t="shared" si="12"/>
        <v>168.64294607760957</v>
      </c>
      <c r="DL13" s="1">
        <f t="shared" si="12"/>
        <v>165.27008715605737</v>
      </c>
      <c r="DM13" s="1">
        <f t="shared" si="12"/>
        <v>161.96468541293623</v>
      </c>
      <c r="DN13" s="1">
        <f t="shared" si="12"/>
        <v>158.72539170467752</v>
      </c>
      <c r="DO13" s="1">
        <f t="shared" si="12"/>
        <v>155.55088387058396</v>
      </c>
      <c r="DP13" s="1">
        <f t="shared" si="12"/>
        <v>152.43986619317226</v>
      </c>
      <c r="DQ13" s="1">
        <f t="shared" si="12"/>
        <v>149.39106886930881</v>
      </c>
      <c r="DR13" s="1">
        <f t="shared" si="12"/>
        <v>146.40324749192263</v>
      </c>
      <c r="DS13" s="1">
        <f t="shared" si="12"/>
        <v>143.47518254208418</v>
      </c>
      <c r="DT13" s="1">
        <f t="shared" si="12"/>
        <v>140.60567889124249</v>
      </c>
      <c r="DU13" s="1">
        <f t="shared" si="12"/>
        <v>137.79356531341764</v>
      </c>
      <c r="DV13" s="1">
        <f t="shared" si="12"/>
        <v>135.0376940071493</v>
      </c>
      <c r="DW13" s="1">
        <f t="shared" si="12"/>
        <v>132.3369401270063</v>
      </c>
      <c r="DX13" s="1">
        <f t="shared" si="12"/>
        <v>129.69020132446616</v>
      </c>
      <c r="DY13" s="1">
        <f t="shared" si="12"/>
        <v>127.09639729797684</v>
      </c>
      <c r="DZ13" s="1">
        <f t="shared" si="12"/>
        <v>124.55446935201729</v>
      </c>
      <c r="EA13" s="1">
        <f t="shared" si="12"/>
        <v>122.06337996497695</v>
      </c>
      <c r="EB13" s="1">
        <f t="shared" si="12"/>
        <v>119.62211236567741</v>
      </c>
      <c r="EC13" s="1">
        <f t="shared" si="12"/>
        <v>117.22967011836386</v>
      </c>
      <c r="ED13" s="1">
        <f t="shared" si="12"/>
        <v>114.88507671599658</v>
      </c>
      <c r="EE13" s="1">
        <f t="shared" si="12"/>
        <v>112.58737518167665</v>
      </c>
      <c r="EF13" s="1">
        <f t="shared" si="12"/>
        <v>110.33562767804311</v>
      </c>
      <c r="EG13" s="1">
        <f t="shared" si="12"/>
        <v>108.12891512448225</v>
      </c>
      <c r="EH13" s="1">
        <f t="shared" si="12"/>
        <v>105.9663368219926</v>
      </c>
      <c r="EI13" s="1">
        <f t="shared" si="12"/>
        <v>103.84701008555274</v>
      </c>
      <c r="EJ13" s="1">
        <f t="shared" si="12"/>
        <v>101.77006988384169</v>
      </c>
      <c r="EK13" s="1">
        <f t="shared" si="12"/>
        <v>99.73466848616485</v>
      </c>
    </row>
    <row r="14" spans="2:141" s="5" customFormat="1" x14ac:dyDescent="0.2">
      <c r="B14" s="5" t="s">
        <v>9</v>
      </c>
      <c r="K14" s="5">
        <f>+K13/K15</f>
        <v>0.39257236895104014</v>
      </c>
      <c r="L14" s="5">
        <f>+L13/L15</f>
        <v>0.29949161395218588</v>
      </c>
      <c r="M14" s="5">
        <f>+M13/M15</f>
        <v>0.39252810416001294</v>
      </c>
      <c r="N14" s="5">
        <f>+N13/N15</f>
        <v>0.4146110948227974</v>
      </c>
      <c r="O14" s="5">
        <f>+O13/O15</f>
        <v>0.39257236895104014</v>
      </c>
      <c r="P14" s="5">
        <f>+P13/P15</f>
        <v>0.36886121000833622</v>
      </c>
      <c r="Q14" s="5">
        <f>+Q13/Q15</f>
        <v>0.47485852274178725</v>
      </c>
      <c r="R14" s="5">
        <f>+R13/R15</f>
        <v>0.43780779442026052</v>
      </c>
      <c r="S14" s="5">
        <f>+S13/S15</f>
        <v>0.42166108986453132</v>
      </c>
      <c r="AB14" s="5">
        <f>+AB13/J15</f>
        <v>1.5526822791912098</v>
      </c>
      <c r="AC14" s="5">
        <f>+AC13/AC15</f>
        <v>1.4992754708980935</v>
      </c>
      <c r="AD14" s="5">
        <f>+AD13/AD15</f>
        <v>1.6741439581349702</v>
      </c>
    </row>
    <row r="15" spans="2:141" x14ac:dyDescent="0.2">
      <c r="B15" s="1" t="s">
        <v>10</v>
      </c>
      <c r="J15" s="1">
        <v>100.589156</v>
      </c>
      <c r="K15" s="1">
        <v>101.094736</v>
      </c>
      <c r="L15" s="1">
        <v>100.840887</v>
      </c>
      <c r="M15" s="1">
        <v>100.909972</v>
      </c>
      <c r="N15" s="1">
        <v>100.88007899999999</v>
      </c>
      <c r="O15" s="1">
        <v>101.094736</v>
      </c>
      <c r="P15" s="1">
        <v>101.27657499999999</v>
      </c>
      <c r="Q15" s="1">
        <v>101.270163</v>
      </c>
      <c r="R15" s="1">
        <v>101.281888</v>
      </c>
      <c r="S15" s="1">
        <v>101.479603</v>
      </c>
      <c r="AC15" s="1">
        <f>+AVERAGE(K15:N15)</f>
        <v>100.93141850000001</v>
      </c>
      <c r="AD15" s="1">
        <f>+AVERAGE(O15:R15)</f>
        <v>101.2308405</v>
      </c>
    </row>
    <row r="17" spans="2:43" s="4" customFormat="1" x14ac:dyDescent="0.2">
      <c r="B17" s="4" t="s">
        <v>11</v>
      </c>
      <c r="K17" s="4">
        <f>+K5/K3</f>
        <v>0.37293879058436297</v>
      </c>
      <c r="L17" s="4">
        <f>+L5/L3</f>
        <v>0.34638416097968872</v>
      </c>
      <c r="M17" s="4">
        <f>+M5/M3</f>
        <v>0.36714574250597304</v>
      </c>
      <c r="N17" s="4">
        <f>+N5/N3</f>
        <v>0.37209629643846559</v>
      </c>
      <c r="O17" s="4">
        <f>+O5/O3</f>
        <v>0.37293879058436297</v>
      </c>
      <c r="P17" s="4">
        <f>+P5/P3</f>
        <v>0.37434456868856081</v>
      </c>
      <c r="Q17" s="4">
        <f>+Q5/Q3</f>
        <v>0.39917313155512807</v>
      </c>
      <c r="R17" s="4">
        <f>+R5/R3</f>
        <v>0.38849361303425439</v>
      </c>
      <c r="S17" s="4">
        <f>+S5/S3</f>
        <v>0.38235638852749149</v>
      </c>
      <c r="AB17" s="4">
        <f>+AB5/AB3</f>
        <v>0.38125214986506129</v>
      </c>
      <c r="AC17" s="4">
        <f>+AC5/AC3</f>
        <v>0.36487504345474919</v>
      </c>
      <c r="AD17" s="4">
        <f>+AD5/AD3</f>
        <v>0.38425443600754433</v>
      </c>
      <c r="AE17" s="4">
        <f t="shared" ref="AE17:AN17" si="13">+AE5/AE3</f>
        <v>0.38</v>
      </c>
      <c r="AF17" s="4">
        <f t="shared" si="13"/>
        <v>0.38</v>
      </c>
      <c r="AG17" s="4">
        <f t="shared" si="13"/>
        <v>0.38</v>
      </c>
      <c r="AH17" s="4">
        <f t="shared" si="13"/>
        <v>0.38</v>
      </c>
      <c r="AI17" s="4">
        <f t="shared" si="13"/>
        <v>0.38</v>
      </c>
      <c r="AJ17" s="4">
        <f t="shared" si="13"/>
        <v>0.38</v>
      </c>
      <c r="AK17" s="4">
        <f t="shared" si="13"/>
        <v>0.38</v>
      </c>
      <c r="AL17" s="4">
        <f t="shared" si="13"/>
        <v>0.38</v>
      </c>
      <c r="AM17" s="4">
        <f t="shared" si="13"/>
        <v>0.38000000000000006</v>
      </c>
      <c r="AN17" s="4">
        <f t="shared" si="13"/>
        <v>0.37999999999999995</v>
      </c>
      <c r="AP17" s="4" t="s">
        <v>41</v>
      </c>
    </row>
    <row r="18" spans="2:43" s="4" customFormat="1" x14ac:dyDescent="0.2">
      <c r="B18" s="4" t="s">
        <v>12</v>
      </c>
      <c r="K18" s="4">
        <f>+K9/K3</f>
        <v>0.1819954774878676</v>
      </c>
      <c r="L18" s="4">
        <f>+L9/L3</f>
        <v>0.15796536562997326</v>
      </c>
      <c r="M18" s="4">
        <f>+M9/M3</f>
        <v>0.18032463853789499</v>
      </c>
      <c r="N18" s="4">
        <f>+N9/N3</f>
        <v>0.19438739931801835</v>
      </c>
      <c r="O18" s="4">
        <f>+O9/O3</f>
        <v>0.1819954774878676</v>
      </c>
      <c r="P18" s="4">
        <f>+P9/P3</f>
        <v>0.16750213805937883</v>
      </c>
      <c r="Q18" s="4">
        <f>+Q9/Q3</f>
        <v>0.19601979943660625</v>
      </c>
      <c r="R18" s="4">
        <f>+R9/R3</f>
        <v>0.16994732317061775</v>
      </c>
      <c r="S18" s="4">
        <f>+S9/S3</f>
        <v>0.17413880000468832</v>
      </c>
      <c r="AB18" s="4">
        <f>+AB9/AB3</f>
        <v>0.18828454030964914</v>
      </c>
      <c r="AC18" s="4">
        <f>+AC9/AC3</f>
        <v>0.17894102385826674</v>
      </c>
      <c r="AD18" s="4">
        <f>+AD9/AD3</f>
        <v>0.17872323804702239</v>
      </c>
      <c r="AE18" s="4">
        <f t="shared" ref="AE18:AN18" si="14">+AE9/AE3</f>
        <v>0.17999999999999997</v>
      </c>
      <c r="AF18" s="4">
        <f t="shared" si="14"/>
        <v>0.18</v>
      </c>
      <c r="AG18" s="4">
        <f t="shared" si="14"/>
        <v>0.18</v>
      </c>
      <c r="AH18" s="4">
        <f t="shared" si="14"/>
        <v>0.18</v>
      </c>
      <c r="AI18" s="4">
        <f t="shared" si="14"/>
        <v>0.18</v>
      </c>
      <c r="AJ18" s="4">
        <f t="shared" si="14"/>
        <v>0.18</v>
      </c>
      <c r="AK18" s="4">
        <f t="shared" si="14"/>
        <v>0.18</v>
      </c>
      <c r="AL18" s="4">
        <f t="shared" si="14"/>
        <v>0.18</v>
      </c>
      <c r="AM18" s="4">
        <f t="shared" si="14"/>
        <v>0.18</v>
      </c>
      <c r="AN18" s="4">
        <f t="shared" si="14"/>
        <v>0.18</v>
      </c>
      <c r="AP18" s="4" t="s">
        <v>42</v>
      </c>
      <c r="AQ18" s="4">
        <v>-0.02</v>
      </c>
    </row>
    <row r="19" spans="2:43" s="4" customFormat="1" x14ac:dyDescent="0.2">
      <c r="B19" s="4" t="s">
        <v>13</v>
      </c>
      <c r="K19" s="4">
        <f>+K13/K3</f>
        <v>0.12857087320767918</v>
      </c>
      <c r="L19" s="4">
        <f>+L13/L3</f>
        <v>0.10182949855690124</v>
      </c>
      <c r="M19" s="4">
        <f>+M13/M3</f>
        <v>0.12195497426044972</v>
      </c>
      <c r="N19" s="4">
        <f>+N13/N3</f>
        <v>0.13379267988407664</v>
      </c>
      <c r="O19" s="4">
        <f>+O13/O3</f>
        <v>0.12857087320767918</v>
      </c>
      <c r="P19" s="4">
        <f>+P13/P3</f>
        <v>0.11965765425257611</v>
      </c>
      <c r="Q19" s="4">
        <f>+Q13/Q3</f>
        <v>0.1436534560890437</v>
      </c>
      <c r="R19" s="4">
        <f>+R13/R3</f>
        <v>0.1180291040147779</v>
      </c>
      <c r="S19" s="4">
        <f>+S13/S3</f>
        <v>0.12538532766037239</v>
      </c>
      <c r="AB19" s="4">
        <f>+AB13/AB3</f>
        <v>0.13364074621067579</v>
      </c>
      <c r="AC19" s="4">
        <f>+AC13/AC3</f>
        <v>0.1217730825189592</v>
      </c>
      <c r="AD19" s="4">
        <f>+AD13/AD3</f>
        <v>0.12729837507257818</v>
      </c>
      <c r="AE19" s="4">
        <f t="shared" ref="AE19:AN19" si="15">+AE13/AE3</f>
        <v>0.1271454821188879</v>
      </c>
      <c r="AF19" s="4">
        <f t="shared" si="15"/>
        <v>0.13826778589517139</v>
      </c>
      <c r="AG19" s="4">
        <f t="shared" si="15"/>
        <v>0.14924651084088825</v>
      </c>
      <c r="AH19" s="4">
        <f t="shared" si="15"/>
        <v>0.16008351042821498</v>
      </c>
      <c r="AI19" s="4">
        <f t="shared" si="15"/>
        <v>0.17078061420268711</v>
      </c>
      <c r="AJ19" s="4">
        <f t="shared" si="15"/>
        <v>0.1813396280920706</v>
      </c>
      <c r="AK19" s="4">
        <f t="shared" si="15"/>
        <v>0.19176233471124565</v>
      </c>
      <c r="AL19" s="4">
        <f t="shared" si="15"/>
        <v>0.202050493663155</v>
      </c>
      <c r="AM19" s="4">
        <f t="shared" si="15"/>
        <v>0.21220584183586699</v>
      </c>
      <c r="AN19" s="4">
        <f t="shared" si="15"/>
        <v>0.22223009369580402</v>
      </c>
      <c r="AP19" s="4" t="s">
        <v>43</v>
      </c>
      <c r="AQ19" s="4">
        <v>0.12</v>
      </c>
    </row>
    <row r="20" spans="2:43" s="4" customFormat="1" x14ac:dyDescent="0.2">
      <c r="B20" s="4" t="s">
        <v>14</v>
      </c>
      <c r="K20" s="4">
        <f>+K12/K11</f>
        <v>0.2253776788851154</v>
      </c>
      <c r="L20" s="4">
        <f>+L12/L11</f>
        <v>0.21757040337832587</v>
      </c>
      <c r="M20" s="4">
        <f>+M12/M11</f>
        <v>0.22826637571601144</v>
      </c>
      <c r="N20" s="4">
        <f>+N12/N11</f>
        <v>0.19999234918327413</v>
      </c>
      <c r="O20" s="4">
        <f>+O12/O11</f>
        <v>0.2253776788851154</v>
      </c>
      <c r="P20" s="4">
        <f>+P12/P11</f>
        <v>0.21555163579858044</v>
      </c>
      <c r="Q20" s="4">
        <f>+Q12/Q11</f>
        <v>0.21770887558563246</v>
      </c>
      <c r="R20" s="4">
        <f>+R12/R11</f>
        <v>0.20659175493844886</v>
      </c>
      <c r="S20" s="4">
        <f>+S12/S11</f>
        <v>0.18250768966241918</v>
      </c>
      <c r="AB20" s="4">
        <f>+AB12/AB11</f>
        <v>0.2119054587290212</v>
      </c>
      <c r="AC20" s="4">
        <f>+AC12/AC11</f>
        <v>0.21772530125464604</v>
      </c>
      <c r="AD20" s="4">
        <f>+AD12/AD11</f>
        <v>0.2161773411773413</v>
      </c>
      <c r="AE20" s="4">
        <f t="shared" ref="AE20:AN20" si="16">+AE12/AE11</f>
        <v>0.22</v>
      </c>
      <c r="AF20" s="4">
        <f t="shared" si="16"/>
        <v>0.22</v>
      </c>
      <c r="AG20" s="4">
        <f t="shared" si="16"/>
        <v>0.22000000000000003</v>
      </c>
      <c r="AH20" s="4">
        <f t="shared" si="16"/>
        <v>0.22000000000000003</v>
      </c>
      <c r="AI20" s="4">
        <f t="shared" si="16"/>
        <v>0.22</v>
      </c>
      <c r="AJ20" s="4">
        <f t="shared" si="16"/>
        <v>0.22</v>
      </c>
      <c r="AK20" s="4">
        <f t="shared" si="16"/>
        <v>0.22000000000000003</v>
      </c>
      <c r="AL20" s="4">
        <f t="shared" si="16"/>
        <v>0.22</v>
      </c>
      <c r="AM20" s="4">
        <f t="shared" si="16"/>
        <v>0.22</v>
      </c>
      <c r="AN20" s="4">
        <f t="shared" si="16"/>
        <v>0.22</v>
      </c>
      <c r="AP20" s="4" t="s">
        <v>44</v>
      </c>
      <c r="AQ20" s="1">
        <f>+NPV(AQ19,AE13:EK13)</f>
        <v>3829.5758707406862</v>
      </c>
    </row>
    <row r="21" spans="2:43" s="4" customFormat="1" x14ac:dyDescent="0.2">
      <c r="AP21" s="4" t="s">
        <v>40</v>
      </c>
      <c r="AQ21" s="1">
        <f>+AD25</f>
        <v>-226.23099999999999</v>
      </c>
    </row>
    <row r="22" spans="2:43" s="7" customFormat="1" x14ac:dyDescent="0.2">
      <c r="B22" s="7" t="s">
        <v>15</v>
      </c>
      <c r="K22" s="7" t="e">
        <f>+K3/G3-1</f>
        <v>#DIV/0!</v>
      </c>
      <c r="L22" s="7" t="e">
        <f>+L3/H3-1</f>
        <v>#DIV/0!</v>
      </c>
      <c r="M22" s="7" t="e">
        <f>+M3/I3-1</f>
        <v>#DIV/0!</v>
      </c>
      <c r="N22" s="7" t="e">
        <f>+N3/J3-1</f>
        <v>#DIV/0!</v>
      </c>
      <c r="O22" s="7">
        <f>+O3/K3-1</f>
        <v>0</v>
      </c>
      <c r="P22" s="7">
        <f>+P3/L3-1</f>
        <v>5.264950233323451E-2</v>
      </c>
      <c r="Q22" s="7">
        <f>+Q3/M3-1</f>
        <v>3.0681174413162982E-2</v>
      </c>
      <c r="R22" s="7">
        <f>+R3/N3-1</f>
        <v>0.2017446212310221</v>
      </c>
      <c r="S22" s="7">
        <f>+S3/O3-1</f>
        <v>0.10557927678681334</v>
      </c>
      <c r="AB22" s="7" t="e">
        <f>+AB3/AA3-1</f>
        <v>#DIV/0!</v>
      </c>
      <c r="AC22" s="7">
        <f>+AC3/AB3-1</f>
        <v>6.3314274761739231E-2</v>
      </c>
      <c r="AD22" s="7">
        <f>+AD3/AC3-1</f>
        <v>7.1337408423139737E-2</v>
      </c>
      <c r="AE22" s="7">
        <f t="shared" ref="AE22:AN22" si="17">+AE3/AD3-1</f>
        <v>0.10000000000000009</v>
      </c>
      <c r="AF22" s="7">
        <f t="shared" si="17"/>
        <v>0.10000000000000009</v>
      </c>
      <c r="AG22" s="7">
        <f t="shared" si="17"/>
        <v>0.10000000000000009</v>
      </c>
      <c r="AH22" s="7">
        <f t="shared" si="17"/>
        <v>0.10000000000000009</v>
      </c>
      <c r="AI22" s="7">
        <f t="shared" si="17"/>
        <v>0.10000000000000009</v>
      </c>
      <c r="AJ22" s="7">
        <f t="shared" si="17"/>
        <v>0.10000000000000009</v>
      </c>
      <c r="AK22" s="7">
        <f t="shared" si="17"/>
        <v>0.10000000000000009</v>
      </c>
      <c r="AL22" s="7">
        <f t="shared" si="17"/>
        <v>0.10000000000000009</v>
      </c>
      <c r="AM22" s="7">
        <f t="shared" si="17"/>
        <v>0.10000000000000009</v>
      </c>
      <c r="AN22" s="7">
        <f t="shared" si="17"/>
        <v>0.10000000000000009</v>
      </c>
      <c r="AP22" s="10" t="s">
        <v>45</v>
      </c>
      <c r="AQ22" s="9">
        <f>+AQ20+AQ21</f>
        <v>3603.344870740686</v>
      </c>
    </row>
    <row r="23" spans="2:43" x14ac:dyDescent="0.2">
      <c r="AP23" s="1" t="s">
        <v>32</v>
      </c>
      <c r="AQ23" s="5">
        <f>+AQ22/Main!L4</f>
        <v>35.665225229439031</v>
      </c>
    </row>
    <row r="24" spans="2:43" x14ac:dyDescent="0.2">
      <c r="S24" s="4">
        <f>+SUM(P10:S10)/S25</f>
        <v>0.10548068125058017</v>
      </c>
      <c r="AP24" s="1" t="s">
        <v>46</v>
      </c>
      <c r="AQ24" s="5">
        <v>37.5</v>
      </c>
    </row>
    <row r="25" spans="2:43" x14ac:dyDescent="0.2">
      <c r="B25" s="1" t="s">
        <v>40</v>
      </c>
      <c r="S25" s="1">
        <f>121.759-347.99</f>
        <v>-226.23099999999999</v>
      </c>
      <c r="AD25" s="1">
        <f>+S25</f>
        <v>-226.23099999999999</v>
      </c>
      <c r="AE25" s="1">
        <f>+AE13+AD25</f>
        <v>-40.032404560000032</v>
      </c>
      <c r="AF25" s="1">
        <f t="shared" ref="AF25:AN25" si="18">+AF13+AE25</f>
        <v>182.70295189275197</v>
      </c>
      <c r="AG25" s="1">
        <f t="shared" si="18"/>
        <v>447.16601560555011</v>
      </c>
      <c r="AH25" s="1">
        <f t="shared" si="18"/>
        <v>759.19872522894639</v>
      </c>
      <c r="AI25" s="1">
        <f t="shared" si="18"/>
        <v>1125.3704278864741</v>
      </c>
      <c r="AJ25" s="1">
        <f t="shared" si="18"/>
        <v>1553.0629078353061</v>
      </c>
      <c r="AK25" s="1">
        <f t="shared" si="18"/>
        <v>2050.564972287365</v>
      </c>
      <c r="AL25" s="1">
        <f t="shared" si="18"/>
        <v>2627.1776405653895</v>
      </c>
      <c r="AM25" s="1">
        <f t="shared" si="18"/>
        <v>3293.3310951472458</v>
      </c>
      <c r="AN25" s="1">
        <f t="shared" si="18"/>
        <v>4060.7146774343601</v>
      </c>
      <c r="AP25" s="1" t="s">
        <v>47</v>
      </c>
      <c r="AQ25" s="4">
        <f>+AQ23/AQ24-1</f>
        <v>-4.8927327214959182E-2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2025-01-25T21:24:46Z</dcterms:created>
  <dcterms:modified xsi:type="dcterms:W3CDTF">2025-01-25T22:38:45Z</dcterms:modified>
</cp:coreProperties>
</file>