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Internet\"/>
    </mc:Choice>
  </mc:AlternateContent>
  <xr:revisionPtr revIDLastSave="0" documentId="13_ncr:1_{66188807-0F66-432A-8F91-EB179A71DC27}" xr6:coauthVersionLast="47" xr6:coauthVersionMax="47" xr10:uidLastSave="{00000000-0000-0000-0000-000000000000}"/>
  <bookViews>
    <workbookView xWindow="0" yWindow="0" windowWidth="14400" windowHeight="15600" activeTab="1" xr2:uid="{7F903A91-55C0-4BB2-AFC4-0453C89E0A42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D7" i="2"/>
  <c r="D6" i="2"/>
  <c r="D4" i="2"/>
  <c r="L17" i="1"/>
  <c r="L16" i="1"/>
  <c r="L15" i="1"/>
  <c r="L12" i="1"/>
  <c r="L10" i="1"/>
  <c r="L8" i="1"/>
  <c r="L111" i="1"/>
  <c r="K111" i="1"/>
  <c r="L110" i="1"/>
  <c r="L98" i="1"/>
  <c r="L99" i="1" s="1"/>
  <c r="L119" i="1"/>
  <c r="L108" i="1"/>
  <c r="L93" i="1"/>
  <c r="L94" i="1" s="1"/>
  <c r="L78" i="1"/>
  <c r="L72" i="1"/>
  <c r="L70" i="1"/>
  <c r="L66" i="1"/>
  <c r="L61" i="1"/>
  <c r="L68" i="1" s="1"/>
  <c r="L74" i="1"/>
  <c r="L76" i="1" s="1"/>
  <c r="L58" i="1"/>
  <c r="L54" i="1"/>
  <c r="L50" i="1"/>
  <c r="L56" i="1"/>
  <c r="L55" i="1"/>
  <c r="L52" i="1"/>
  <c r="L51" i="1"/>
  <c r="F54" i="1"/>
  <c r="G54" i="1"/>
  <c r="H54" i="1"/>
  <c r="I54" i="1"/>
  <c r="J54" i="1"/>
  <c r="K54" i="1"/>
  <c r="F55" i="1"/>
  <c r="G55" i="1"/>
  <c r="H55" i="1"/>
  <c r="I55" i="1"/>
  <c r="J55" i="1"/>
  <c r="K55" i="1"/>
  <c r="Q6" i="1"/>
  <c r="R6" i="1"/>
  <c r="P6" i="1"/>
  <c r="P14" i="1" s="1"/>
  <c r="M24" i="1"/>
  <c r="J17" i="1"/>
  <c r="I17" i="1"/>
  <c r="H17" i="1"/>
  <c r="G17" i="1"/>
  <c r="F17" i="1"/>
  <c r="E17" i="1"/>
  <c r="D17" i="1"/>
  <c r="C17" i="1"/>
  <c r="B17" i="1"/>
  <c r="K17" i="1"/>
  <c r="J16" i="1"/>
  <c r="I16" i="1"/>
  <c r="H16" i="1"/>
  <c r="G16" i="1"/>
  <c r="F16" i="1"/>
  <c r="E16" i="1"/>
  <c r="D16" i="1"/>
  <c r="C16" i="1"/>
  <c r="B16" i="1"/>
  <c r="K16" i="1"/>
  <c r="J15" i="1"/>
  <c r="I15" i="1"/>
  <c r="H15" i="1"/>
  <c r="G15" i="1"/>
  <c r="F15" i="1"/>
  <c r="E15" i="1"/>
  <c r="D15" i="1"/>
  <c r="C15" i="1"/>
  <c r="B15" i="1"/>
  <c r="K15" i="1"/>
  <c r="K14" i="1"/>
  <c r="K10" i="1"/>
  <c r="K8" i="1"/>
  <c r="K52" i="1"/>
  <c r="K50" i="1"/>
  <c r="K51" i="1"/>
  <c r="K56" i="1"/>
  <c r="I70" i="1"/>
  <c r="I74" i="1" s="1"/>
  <c r="I66" i="1"/>
  <c r="I61" i="1"/>
  <c r="I60" i="1" s="1"/>
  <c r="J108" i="1"/>
  <c r="B14" i="1"/>
  <c r="C14" i="1"/>
  <c r="D14" i="1"/>
  <c r="E14" i="1"/>
  <c r="F14" i="1"/>
  <c r="G14" i="1"/>
  <c r="H14" i="1"/>
  <c r="L14" i="1"/>
  <c r="J14" i="1"/>
  <c r="K12" i="1"/>
  <c r="J8" i="1"/>
  <c r="I119" i="1"/>
  <c r="H119" i="1"/>
  <c r="G119" i="1"/>
  <c r="F119" i="1"/>
  <c r="E119" i="1"/>
  <c r="D119" i="1"/>
  <c r="C119" i="1"/>
  <c r="J56" i="1"/>
  <c r="K102" i="1"/>
  <c r="K108" i="1" s="1"/>
  <c r="K98" i="1"/>
  <c r="K97" i="1"/>
  <c r="K93" i="1"/>
  <c r="K94" i="1" s="1"/>
  <c r="K116" i="1" s="1"/>
  <c r="K72" i="1"/>
  <c r="K70" i="1"/>
  <c r="K66" i="1"/>
  <c r="K61" i="1"/>
  <c r="K58" i="1"/>
  <c r="J98" i="1"/>
  <c r="J99" i="1" s="1"/>
  <c r="J70" i="1"/>
  <c r="J74" i="1" s="1"/>
  <c r="J66" i="1"/>
  <c r="J61" i="1"/>
  <c r="J60" i="1" s="1"/>
  <c r="J93" i="1"/>
  <c r="J94" i="1" s="1"/>
  <c r="J116" i="1" s="1"/>
  <c r="I93" i="1"/>
  <c r="I94" i="1" s="1"/>
  <c r="J30" i="1"/>
  <c r="J52" i="1"/>
  <c r="J51" i="1"/>
  <c r="J50" i="1"/>
  <c r="J58" i="1"/>
  <c r="J46" i="1"/>
  <c r="J12" i="1"/>
  <c r="J10" i="1"/>
  <c r="I8" i="1"/>
  <c r="R36" i="1"/>
  <c r="I36" i="1"/>
  <c r="Q14" i="1"/>
  <c r="R34" i="1"/>
  <c r="R33" i="1"/>
  <c r="R32" i="1"/>
  <c r="H56" i="1"/>
  <c r="G56" i="1"/>
  <c r="F56" i="1"/>
  <c r="I56" i="1"/>
  <c r="I12" i="1"/>
  <c r="H12" i="1"/>
  <c r="G12" i="1"/>
  <c r="F12" i="1"/>
  <c r="E12" i="1"/>
  <c r="D12" i="1"/>
  <c r="C12" i="1"/>
  <c r="I10" i="1"/>
  <c r="H10" i="1"/>
  <c r="G10" i="1"/>
  <c r="F10" i="1"/>
  <c r="E10" i="1"/>
  <c r="D10" i="1"/>
  <c r="C10" i="1"/>
  <c r="H8" i="1"/>
  <c r="G8" i="1"/>
  <c r="F8" i="1"/>
  <c r="E8" i="1"/>
  <c r="D8" i="1"/>
  <c r="C8" i="1"/>
  <c r="B12" i="1"/>
  <c r="B10" i="1"/>
  <c r="B8" i="1"/>
  <c r="R3" i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J118" i="1"/>
  <c r="J119" i="1" s="1"/>
  <c r="J26" i="1"/>
  <c r="P52" i="1"/>
  <c r="P51" i="1"/>
  <c r="P50" i="1"/>
  <c r="Q52" i="1"/>
  <c r="Q51" i="1"/>
  <c r="Q50" i="1"/>
  <c r="H52" i="1"/>
  <c r="G52" i="1"/>
  <c r="F52" i="1"/>
  <c r="H51" i="1"/>
  <c r="G51" i="1"/>
  <c r="F51" i="1"/>
  <c r="H50" i="1"/>
  <c r="G50" i="1"/>
  <c r="F50" i="1"/>
  <c r="O48" i="1"/>
  <c r="O47" i="1"/>
  <c r="O46" i="1"/>
  <c r="P48" i="1"/>
  <c r="P47" i="1"/>
  <c r="P46" i="1"/>
  <c r="Q48" i="1"/>
  <c r="Q47" i="1"/>
  <c r="Q46" i="1"/>
  <c r="H48" i="1"/>
  <c r="G48" i="1"/>
  <c r="F48" i="1"/>
  <c r="E48" i="1"/>
  <c r="D48" i="1"/>
  <c r="C48" i="1"/>
  <c r="B48" i="1"/>
  <c r="H47" i="1"/>
  <c r="G47" i="1"/>
  <c r="F47" i="1"/>
  <c r="E47" i="1"/>
  <c r="D47" i="1"/>
  <c r="C47" i="1"/>
  <c r="B47" i="1"/>
  <c r="H46" i="1"/>
  <c r="G46" i="1"/>
  <c r="F46" i="1"/>
  <c r="E46" i="1"/>
  <c r="D46" i="1"/>
  <c r="C46" i="1"/>
  <c r="B46" i="1"/>
  <c r="G58" i="1"/>
  <c r="F58" i="1"/>
  <c r="B30" i="1"/>
  <c r="B26" i="1"/>
  <c r="C30" i="1"/>
  <c r="C26" i="1"/>
  <c r="C41" i="1" s="1"/>
  <c r="P58" i="1"/>
  <c r="Q58" i="1"/>
  <c r="H58" i="1"/>
  <c r="I34" i="1"/>
  <c r="I33" i="1"/>
  <c r="I32" i="1"/>
  <c r="I29" i="1"/>
  <c r="I52" i="1" s="1"/>
  <c r="I28" i="1"/>
  <c r="I51" i="1" s="1"/>
  <c r="I27" i="1"/>
  <c r="I50" i="1" s="1"/>
  <c r="I25" i="1"/>
  <c r="I24" i="1"/>
  <c r="I58" i="1" s="1"/>
  <c r="E30" i="1"/>
  <c r="E26" i="1"/>
  <c r="E41" i="1" s="1"/>
  <c r="F30" i="1"/>
  <c r="F26" i="1"/>
  <c r="F41" i="1" s="1"/>
  <c r="G30" i="1"/>
  <c r="G26" i="1"/>
  <c r="G41" i="1" s="1"/>
  <c r="D26" i="1"/>
  <c r="D30" i="1"/>
  <c r="H30" i="1"/>
  <c r="H26" i="1"/>
  <c r="H41" i="1" s="1"/>
  <c r="O26" i="1"/>
  <c r="O30" i="1"/>
  <c r="P30" i="1"/>
  <c r="P26" i="1"/>
  <c r="P41" i="1" s="1"/>
  <c r="L116" i="1" l="1"/>
  <c r="L113" i="1"/>
  <c r="L60" i="1"/>
  <c r="I68" i="1"/>
  <c r="I76" i="1"/>
  <c r="I14" i="1"/>
  <c r="K119" i="1"/>
  <c r="K68" i="1"/>
  <c r="K74" i="1"/>
  <c r="K76" i="1" s="1"/>
  <c r="K99" i="1"/>
  <c r="K110" i="1" s="1"/>
  <c r="K113" i="1"/>
  <c r="K60" i="1"/>
  <c r="J113" i="1"/>
  <c r="J110" i="1"/>
  <c r="J68" i="1"/>
  <c r="J75" i="1" s="1"/>
  <c r="J76" i="1" s="1"/>
  <c r="J31" i="1"/>
  <c r="J35" i="1" s="1"/>
  <c r="K46" i="1"/>
  <c r="K26" i="1"/>
  <c r="K41" i="1" s="1"/>
  <c r="M27" i="1"/>
  <c r="M46" i="1" s="1"/>
  <c r="J41" i="1"/>
  <c r="I46" i="1"/>
  <c r="I47" i="1"/>
  <c r="I48" i="1"/>
  <c r="B31" i="1"/>
  <c r="B41" i="1"/>
  <c r="C31" i="1"/>
  <c r="C35" i="1" s="1"/>
  <c r="I30" i="1"/>
  <c r="I26" i="1"/>
  <c r="E31" i="1"/>
  <c r="E35" i="1" s="1"/>
  <c r="F31" i="1"/>
  <c r="F35" i="1" s="1"/>
  <c r="G31" i="1"/>
  <c r="G35" i="1" s="1"/>
  <c r="D31" i="1"/>
  <c r="D41" i="1"/>
  <c r="H31" i="1"/>
  <c r="H35" i="1" s="1"/>
  <c r="O31" i="1"/>
  <c r="O41" i="1"/>
  <c r="P31" i="1"/>
  <c r="P35" i="1" s="1"/>
  <c r="R27" i="1" l="1"/>
  <c r="R24" i="1"/>
  <c r="O35" i="1"/>
  <c r="O37" i="1" s="1"/>
  <c r="B35" i="1"/>
  <c r="B37" i="1" s="1"/>
  <c r="D42" i="1"/>
  <c r="D35" i="1"/>
  <c r="D37" i="1" s="1"/>
  <c r="M28" i="1"/>
  <c r="M29" i="1"/>
  <c r="M39" i="1"/>
  <c r="M25" i="1"/>
  <c r="M26" i="1" s="1"/>
  <c r="K30" i="1"/>
  <c r="K31" i="1" s="1"/>
  <c r="J42" i="1"/>
  <c r="J37" i="1"/>
  <c r="J78" i="1" s="1"/>
  <c r="B42" i="1"/>
  <c r="O42" i="1"/>
  <c r="C37" i="1"/>
  <c r="C42" i="1"/>
  <c r="I41" i="1"/>
  <c r="I31" i="1"/>
  <c r="I35" i="1" s="1"/>
  <c r="E42" i="1"/>
  <c r="E37" i="1"/>
  <c r="F42" i="1"/>
  <c r="F37" i="1"/>
  <c r="G42" i="1"/>
  <c r="G37" i="1"/>
  <c r="H42" i="1"/>
  <c r="H37" i="1"/>
  <c r="P42" i="1"/>
  <c r="P37" i="1"/>
  <c r="Q30" i="1"/>
  <c r="Q26" i="1"/>
  <c r="R58" i="1" l="1"/>
  <c r="R14" i="1"/>
  <c r="L46" i="1"/>
  <c r="L30" i="1"/>
  <c r="R28" i="1"/>
  <c r="R47" i="1" s="1"/>
  <c r="M30" i="1"/>
  <c r="M31" i="1" s="1"/>
  <c r="R29" i="1"/>
  <c r="R48" i="1" s="1"/>
  <c r="B44" i="1"/>
  <c r="K42" i="1"/>
  <c r="K35" i="1"/>
  <c r="K37" i="1" s="1"/>
  <c r="O44" i="1"/>
  <c r="L26" i="1"/>
  <c r="R25" i="1"/>
  <c r="R26" i="1" s="1"/>
  <c r="R41" i="1" s="1"/>
  <c r="R39" i="1"/>
  <c r="M41" i="1"/>
  <c r="R46" i="1"/>
  <c r="J38" i="1"/>
  <c r="B38" i="1"/>
  <c r="B43" i="1"/>
  <c r="C44" i="1"/>
  <c r="I37" i="1"/>
  <c r="I42" i="1"/>
  <c r="E44" i="1"/>
  <c r="F44" i="1"/>
  <c r="G44" i="1"/>
  <c r="D44" i="1"/>
  <c r="D38" i="1"/>
  <c r="D43" i="1"/>
  <c r="H44" i="1"/>
  <c r="Q41" i="1"/>
  <c r="Q31" i="1"/>
  <c r="Q35" i="1" s="1"/>
  <c r="O38" i="1"/>
  <c r="O43" i="1"/>
  <c r="P44" i="1"/>
  <c r="D5" i="2"/>
  <c r="D8" i="2" s="1"/>
  <c r="K38" i="1" l="1"/>
  <c r="K78" i="1"/>
  <c r="L31" i="1"/>
  <c r="L35" i="1" s="1"/>
  <c r="L37" i="1" s="1"/>
  <c r="R30" i="1"/>
  <c r="R31" i="1" s="1"/>
  <c r="R35" i="1" s="1"/>
  <c r="R37" i="1" s="1"/>
  <c r="L41" i="1"/>
  <c r="M35" i="1"/>
  <c r="M37" i="1" s="1"/>
  <c r="K43" i="1"/>
  <c r="M42" i="1"/>
  <c r="J43" i="1"/>
  <c r="C38" i="1"/>
  <c r="C43" i="1"/>
  <c r="I78" i="1"/>
  <c r="I44" i="1"/>
  <c r="E43" i="1"/>
  <c r="E38" i="1"/>
  <c r="F43" i="1"/>
  <c r="F38" i="1"/>
  <c r="G43" i="1"/>
  <c r="G38" i="1"/>
  <c r="H43" i="1"/>
  <c r="H38" i="1"/>
  <c r="Q42" i="1"/>
  <c r="Q37" i="1"/>
  <c r="P43" i="1"/>
  <c r="P38" i="1"/>
  <c r="L42" i="1" l="1"/>
  <c r="M43" i="1"/>
  <c r="M38" i="1"/>
  <c r="R42" i="1"/>
  <c r="R44" i="1"/>
  <c r="L43" i="1"/>
  <c r="L38" i="1"/>
  <c r="R38" i="1"/>
  <c r="R43" i="1"/>
  <c r="I38" i="1"/>
  <c r="I43" i="1"/>
  <c r="Q44" i="1"/>
  <c r="Q43" i="1" l="1"/>
  <c r="Q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Hesselberth</author>
  </authors>
  <commentList>
    <comment ref="L24" authorId="0" shapeId="0" xr:uid="{4329D615-C2A5-4FDC-B664-3CEA55BA2975}">
      <text>
        <r>
          <rPr>
            <b/>
            <sz val="9"/>
            <color indexed="81"/>
            <rFont val="Tahoma"/>
            <family val="2"/>
          </rPr>
          <t>Dennis Hesselberth:</t>
        </r>
        <r>
          <rPr>
            <sz val="9"/>
            <color indexed="81"/>
            <rFont val="Tahoma"/>
            <family val="2"/>
          </rPr>
          <t xml:space="preserve">
Outlook
1335M - 1375M</t>
        </r>
      </text>
    </comment>
  </commentList>
</comments>
</file>

<file path=xl/sharedStrings.xml><?xml version="1.0" encoding="utf-8"?>
<sst xmlns="http://schemas.openxmlformats.org/spreadsheetml/2006/main" count="132" uniqueCount="110">
  <si>
    <t>Snapchat</t>
  </si>
  <si>
    <t>(SNAP)</t>
  </si>
  <si>
    <t>(in millions)</t>
  </si>
  <si>
    <t>Revenue</t>
  </si>
  <si>
    <t>COGS</t>
  </si>
  <si>
    <t>ARPU</t>
  </si>
  <si>
    <t>Cash</t>
  </si>
  <si>
    <t>Debt</t>
  </si>
  <si>
    <t>MC</t>
  </si>
  <si>
    <t>Price</t>
  </si>
  <si>
    <t>Shares</t>
  </si>
  <si>
    <t>EV</t>
  </si>
  <si>
    <t>R&amp;D</t>
  </si>
  <si>
    <t>S&amp;M</t>
  </si>
  <si>
    <t>G&amp;A</t>
  </si>
  <si>
    <t>Interest income</t>
  </si>
  <si>
    <t>Interest expense</t>
  </si>
  <si>
    <t>Net income</t>
  </si>
  <si>
    <t>EPS</t>
  </si>
  <si>
    <t>Gross margin</t>
  </si>
  <si>
    <t>Gross profit</t>
  </si>
  <si>
    <t>Operating margin</t>
  </si>
  <si>
    <t>Net margin</t>
  </si>
  <si>
    <t>Taxe rate</t>
  </si>
  <si>
    <t>Revenue y/y</t>
  </si>
  <si>
    <t>Q423</t>
  </si>
  <si>
    <t>Q323</t>
  </si>
  <si>
    <t>Q223</t>
  </si>
  <si>
    <t>Q123</t>
  </si>
  <si>
    <t>Q422</t>
  </si>
  <si>
    <t>Q322</t>
  </si>
  <si>
    <t>R&amp;D margin</t>
  </si>
  <si>
    <t>S&amp;M margin</t>
  </si>
  <si>
    <t>G&amp;A margin</t>
  </si>
  <si>
    <t>Model NI</t>
  </si>
  <si>
    <t>Reported NI</t>
  </si>
  <si>
    <t>D&amp;A</t>
  </si>
  <si>
    <t>SBC</t>
  </si>
  <si>
    <t>CFFO</t>
  </si>
  <si>
    <t>Other</t>
  </si>
  <si>
    <t>A/R</t>
  </si>
  <si>
    <t>Prepaids</t>
  </si>
  <si>
    <t>A/P</t>
  </si>
  <si>
    <t>Other Assets</t>
  </si>
  <si>
    <t>Accrued expenses</t>
  </si>
  <si>
    <t>Lease liabilities</t>
  </si>
  <si>
    <t>Lease ROU</t>
  </si>
  <si>
    <t>DAU</t>
  </si>
  <si>
    <t>Q222</t>
  </si>
  <si>
    <t>Q122</t>
  </si>
  <si>
    <t>NA</t>
  </si>
  <si>
    <t>EU</t>
  </si>
  <si>
    <t>RoW</t>
  </si>
  <si>
    <t>R&amp;D y/y</t>
  </si>
  <si>
    <t>S&amp;M y/y</t>
  </si>
  <si>
    <t>G&amp;A y/y</t>
  </si>
  <si>
    <t>Q124</t>
  </si>
  <si>
    <t>Subscibers</t>
  </si>
  <si>
    <t>Employees</t>
  </si>
  <si>
    <t>Founded</t>
  </si>
  <si>
    <t>Sept. 16, 2011</t>
  </si>
  <si>
    <t>CEO</t>
  </si>
  <si>
    <t>Evan Spiegel</t>
  </si>
  <si>
    <t>Venice, LA, CA</t>
  </si>
  <si>
    <t>Headquarters</t>
  </si>
  <si>
    <t>Q224</t>
  </si>
  <si>
    <t>Q324</t>
  </si>
  <si>
    <t>Q424</t>
  </si>
  <si>
    <t>Rev NA</t>
  </si>
  <si>
    <t>Rev EU</t>
  </si>
  <si>
    <t>Rev RoW</t>
  </si>
  <si>
    <t>Rev NA y/y</t>
  </si>
  <si>
    <t>Rev EU y/y</t>
  </si>
  <si>
    <t>Rev RoW y/y</t>
  </si>
  <si>
    <t>Pretax</t>
  </si>
  <si>
    <t>Taxes</t>
  </si>
  <si>
    <t>Issuance debt cost</t>
  </si>
  <si>
    <t>Securities</t>
  </si>
  <si>
    <t>Working capital</t>
  </si>
  <si>
    <t>Net cash</t>
  </si>
  <si>
    <t>Prepaid</t>
  </si>
  <si>
    <t>PP&amp;E</t>
  </si>
  <si>
    <t>Lease</t>
  </si>
  <si>
    <t>Goodwill</t>
  </si>
  <si>
    <t>Assets</t>
  </si>
  <si>
    <t>Accrued</t>
  </si>
  <si>
    <t>Liabilities</t>
  </si>
  <si>
    <t>S/E</t>
  </si>
  <si>
    <t>L+S/E</t>
  </si>
  <si>
    <t>CapEx</t>
  </si>
  <si>
    <t>Investments</t>
  </si>
  <si>
    <t>CFFI</t>
  </si>
  <si>
    <t>CFFF</t>
  </si>
  <si>
    <t>Buyback</t>
  </si>
  <si>
    <t>Debt (notes)</t>
  </si>
  <si>
    <t>CIC</t>
  </si>
  <si>
    <t>FCF</t>
  </si>
  <si>
    <t>FCF TTM</t>
  </si>
  <si>
    <t>Cash end of period</t>
  </si>
  <si>
    <t>CFFO+CapEx-SBC</t>
  </si>
  <si>
    <t>MAU</t>
  </si>
  <si>
    <t>OpIn</t>
  </si>
  <si>
    <t>OpEx</t>
  </si>
  <si>
    <t>Capped calls</t>
  </si>
  <si>
    <t>ESOP</t>
  </si>
  <si>
    <t>Convertibles notes</t>
  </si>
  <si>
    <t>Aquisition</t>
  </si>
  <si>
    <t>NA margin</t>
  </si>
  <si>
    <t>EU margin</t>
  </si>
  <si>
    <t>RoW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</si>
</sst>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00,"/>
    <numFmt numFmtId="165" formatCode="0\x"/>
    <numFmt numFmtId="167" formatCode="[$-413]d/mmm;@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2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9" fontId="4" fillId="0" borderId="0" xfId="1" applyFont="1"/>
    <xf numFmtId="9" fontId="4" fillId="0" borderId="0" xfId="1" applyFont="1" applyAlignment="1">
      <alignment horizontal="right"/>
    </xf>
    <xf numFmtId="164" fontId="6" fillId="0" borderId="0" xfId="0" applyNumberFormat="1" applyFont="1"/>
    <xf numFmtId="164" fontId="4" fillId="0" borderId="0" xfId="0" applyNumberFormat="1" applyFont="1"/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9" fontId="6" fillId="0" borderId="0" xfId="1" applyFont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Alignment="1">
      <alignment horizontal="right"/>
    </xf>
    <xf numFmtId="9" fontId="6" fillId="0" borderId="0" xfId="1" applyFont="1"/>
    <xf numFmtId="0" fontId="7" fillId="0" borderId="0" xfId="0" applyFont="1"/>
    <xf numFmtId="164" fontId="3" fillId="0" borderId="0" xfId="0" applyNumberFormat="1" applyFont="1"/>
    <xf numFmtId="3" fontId="4" fillId="0" borderId="0" xfId="1" applyNumberFormat="1" applyFont="1"/>
    <xf numFmtId="3" fontId="4" fillId="0" borderId="0" xfId="1" applyNumberFormat="1" applyFont="1" applyAlignment="1">
      <alignment horizontal="right"/>
    </xf>
    <xf numFmtId="3" fontId="6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3" fontId="6" fillId="0" borderId="0" xfId="1" applyNumberFormat="1" applyFont="1"/>
    <xf numFmtId="3" fontId="6" fillId="0" borderId="0" xfId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9" fontId="6" fillId="0" borderId="0" xfId="1" applyFont="1" applyFill="1" applyAlignment="1">
      <alignment horizontal="right"/>
    </xf>
    <xf numFmtId="9" fontId="4" fillId="0" borderId="0" xfId="0" applyNumberFormat="1" applyFont="1"/>
    <xf numFmtId="9" fontId="4" fillId="0" borderId="0" xfId="0" applyNumberFormat="1" applyFont="1" applyAlignment="1">
      <alignment horizontal="right"/>
    </xf>
    <xf numFmtId="164" fontId="1" fillId="0" borderId="0" xfId="0" applyNumberFormat="1" applyFont="1"/>
    <xf numFmtId="3" fontId="4" fillId="0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167" fontId="4" fillId="0" borderId="0" xfId="0" applyNumberFormat="1" applyFont="1"/>
    <xf numFmtId="167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28575</xdr:rowOff>
    </xdr:from>
    <xdr:to>
      <xdr:col>12</xdr:col>
      <xdr:colOff>19050</xdr:colOff>
      <xdr:row>122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D3712F7-39D7-D56A-3C71-9AF8A36C73F9}"/>
            </a:ext>
          </a:extLst>
        </xdr:cNvPr>
        <xdr:cNvCxnSpPr/>
      </xdr:nvCxnSpPr>
      <xdr:spPr>
        <a:xfrm>
          <a:off x="8753475" y="28575"/>
          <a:ext cx="0" cy="1962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0</xdr:row>
      <xdr:rowOff>285750</xdr:rowOff>
    </xdr:from>
    <xdr:to>
      <xdr:col>17</xdr:col>
      <xdr:colOff>19050</xdr:colOff>
      <xdr:row>122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4AC3530-16AD-40FF-9F04-35905B6CA43F}"/>
            </a:ext>
          </a:extLst>
        </xdr:cNvPr>
        <xdr:cNvCxnSpPr/>
      </xdr:nvCxnSpPr>
      <xdr:spPr>
        <a:xfrm>
          <a:off x="11934825" y="285750"/>
          <a:ext cx="0" cy="1985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B10-573C-4596-8452-8E3BB7B5E0CA}">
  <dimension ref="A1:H10"/>
  <sheetViews>
    <sheetView workbookViewId="0">
      <selection activeCell="E9" sqref="E9"/>
    </sheetView>
  </sheetViews>
  <sheetFormatPr defaultRowHeight="12.75" x14ac:dyDescent="0.2"/>
  <cols>
    <col min="1" max="1" width="25" style="24" bestFit="1" customWidth="1"/>
    <col min="2" max="3" width="9.140625" style="24"/>
    <col min="4" max="4" width="12.140625" style="24" customWidth="1"/>
    <col min="5" max="6" width="9.140625" style="24"/>
    <col min="7" max="7" width="13.28515625" style="24" bestFit="1" customWidth="1"/>
    <col min="8" max="8" width="13.7109375" style="24" bestFit="1" customWidth="1"/>
    <col min="9" max="16384" width="9.140625" style="24"/>
  </cols>
  <sheetData>
    <row r="1" spans="1:8" ht="34.5" x14ac:dyDescent="0.45">
      <c r="A1" s="19" t="s">
        <v>0</v>
      </c>
    </row>
    <row r="2" spans="1:8" x14ac:dyDescent="0.2">
      <c r="A2" s="24" t="s">
        <v>1</v>
      </c>
      <c r="D2" s="25"/>
    </row>
    <row r="3" spans="1:8" x14ac:dyDescent="0.2">
      <c r="A3" s="24" t="s">
        <v>2</v>
      </c>
      <c r="C3" s="24" t="s">
        <v>9</v>
      </c>
      <c r="D3" s="27">
        <v>11.31</v>
      </c>
      <c r="G3" s="24" t="s">
        <v>59</v>
      </c>
      <c r="H3" s="25" t="s">
        <v>60</v>
      </c>
    </row>
    <row r="4" spans="1:8" x14ac:dyDescent="0.2">
      <c r="C4" s="24" t="s">
        <v>10</v>
      </c>
      <c r="D4" s="26">
        <f>+Model!L39</f>
        <v>1663.011</v>
      </c>
      <c r="E4" s="46" t="s">
        <v>66</v>
      </c>
      <c r="G4" s="24" t="s">
        <v>64</v>
      </c>
      <c r="H4" s="25" t="s">
        <v>63</v>
      </c>
    </row>
    <row r="5" spans="1:8" x14ac:dyDescent="0.2">
      <c r="C5" s="24" t="s">
        <v>8</v>
      </c>
      <c r="D5" s="26">
        <f>+D3*D4</f>
        <v>18808.654409999999</v>
      </c>
      <c r="E5" s="25"/>
      <c r="G5" s="24" t="s">
        <v>61</v>
      </c>
      <c r="H5" s="25" t="s">
        <v>62</v>
      </c>
    </row>
    <row r="6" spans="1:8" x14ac:dyDescent="0.2">
      <c r="C6" s="24" t="s">
        <v>6</v>
      </c>
      <c r="D6" s="26">
        <f>+Model!L61</f>
        <v>3192.1289999999999</v>
      </c>
      <c r="E6" s="46" t="s">
        <v>66</v>
      </c>
      <c r="G6" s="24" t="s">
        <v>58</v>
      </c>
      <c r="H6" s="47">
        <f>+Model!L118</f>
        <v>4800</v>
      </c>
    </row>
    <row r="7" spans="1:8" x14ac:dyDescent="0.2">
      <c r="C7" s="24" t="s">
        <v>7</v>
      </c>
      <c r="D7" s="26">
        <f>+Model!L72</f>
        <v>3641.328</v>
      </c>
      <c r="E7" s="46" t="s">
        <v>66</v>
      </c>
      <c r="H7" s="25"/>
    </row>
    <row r="8" spans="1:8" x14ac:dyDescent="0.2">
      <c r="C8" s="24" t="s">
        <v>11</v>
      </c>
      <c r="D8" s="26">
        <f>+D5-D6+D7</f>
        <v>19257.85341</v>
      </c>
    </row>
    <row r="9" spans="1:8" x14ac:dyDescent="0.2">
      <c r="D9" s="26"/>
    </row>
    <row r="10" spans="1:8" x14ac:dyDescent="0.2">
      <c r="D1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FACE-32B2-43C2-876F-BC9F49C50B54}">
  <dimension ref="A1:AH119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M4" sqref="M4"/>
    </sheetView>
  </sheetViews>
  <sheetFormatPr defaultRowHeight="12.75" x14ac:dyDescent="0.2"/>
  <cols>
    <col min="1" max="1" width="25" style="1" bestFit="1" customWidth="1"/>
    <col min="2" max="2" width="10" style="3" customWidth="1"/>
    <col min="3" max="3" width="9.85546875" style="3" customWidth="1"/>
    <col min="4" max="5" width="9.140625" style="4"/>
    <col min="6" max="6" width="9.5703125" style="4" bestFit="1" customWidth="1"/>
    <col min="7" max="8" width="9.140625" style="4"/>
    <col min="9" max="9" width="10.42578125" style="4" bestFit="1" customWidth="1"/>
    <col min="10" max="10" width="9.5703125" style="4" bestFit="1" customWidth="1"/>
    <col min="11" max="11" width="10.140625" style="4" customWidth="1"/>
    <col min="12" max="12" width="9.85546875" style="3" customWidth="1"/>
    <col min="13" max="14" width="9.140625" style="3"/>
    <col min="15" max="15" width="9.140625" style="4"/>
    <col min="16" max="16" width="10.5703125" style="4" bestFit="1" customWidth="1"/>
    <col min="17" max="17" width="9.7109375" style="4" bestFit="1" customWidth="1"/>
    <col min="18" max="16384" width="9.140625" style="4"/>
  </cols>
  <sheetData>
    <row r="1" spans="1:34" s="1" customFormat="1" ht="34.5" x14ac:dyDescent="0.45">
      <c r="A1" s="19" t="s">
        <v>0</v>
      </c>
    </row>
    <row r="2" spans="1:34" s="45" customFormat="1" x14ac:dyDescent="0.2">
      <c r="A2" s="44" t="s">
        <v>1</v>
      </c>
      <c r="B2" s="45">
        <v>45382</v>
      </c>
      <c r="C2" s="45">
        <v>45473</v>
      </c>
      <c r="D2" s="45">
        <v>45565</v>
      </c>
      <c r="E2" s="45">
        <v>45657</v>
      </c>
      <c r="F2" s="45">
        <v>45382</v>
      </c>
      <c r="G2" s="45">
        <v>45473</v>
      </c>
      <c r="H2" s="45">
        <v>45565</v>
      </c>
      <c r="I2" s="45">
        <v>45657</v>
      </c>
      <c r="J2" s="45">
        <v>45382</v>
      </c>
      <c r="K2" s="45">
        <v>45473</v>
      </c>
      <c r="L2" s="44">
        <v>45565</v>
      </c>
      <c r="M2" s="44"/>
      <c r="N2" s="44"/>
    </row>
    <row r="3" spans="1:34" s="2" customFormat="1" x14ac:dyDescent="0.2">
      <c r="A3" s="1" t="s">
        <v>2</v>
      </c>
      <c r="B3" s="1" t="s">
        <v>49</v>
      </c>
      <c r="C3" s="1" t="s">
        <v>48</v>
      </c>
      <c r="D3" s="2" t="s">
        <v>30</v>
      </c>
      <c r="E3" s="2" t="s">
        <v>29</v>
      </c>
      <c r="F3" s="2" t="s">
        <v>28</v>
      </c>
      <c r="G3" s="2" t="s">
        <v>27</v>
      </c>
      <c r="H3" s="2" t="s">
        <v>26</v>
      </c>
      <c r="I3" s="2" t="s">
        <v>25</v>
      </c>
      <c r="J3" s="2" t="s">
        <v>56</v>
      </c>
      <c r="K3" s="2" t="s">
        <v>65</v>
      </c>
      <c r="L3" s="2" t="s">
        <v>66</v>
      </c>
      <c r="M3" s="2" t="s">
        <v>67</v>
      </c>
      <c r="N3" s="1"/>
      <c r="O3" s="2">
        <v>2021</v>
      </c>
      <c r="P3" s="2">
        <v>2022</v>
      </c>
      <c r="Q3" s="2">
        <v>2023</v>
      </c>
      <c r="R3" s="2">
        <f>+Q3+1</f>
        <v>2024</v>
      </c>
      <c r="S3" s="2">
        <f t="shared" ref="S3:AH3" si="0">+R3+1</f>
        <v>2025</v>
      </c>
      <c r="T3" s="2">
        <f t="shared" si="0"/>
        <v>2026</v>
      </c>
      <c r="U3" s="2">
        <f t="shared" si="0"/>
        <v>2027</v>
      </c>
      <c r="V3" s="2">
        <f t="shared" si="0"/>
        <v>2028</v>
      </c>
      <c r="W3" s="2">
        <f t="shared" si="0"/>
        <v>2029</v>
      </c>
      <c r="X3" s="2">
        <f t="shared" si="0"/>
        <v>2030</v>
      </c>
      <c r="Y3" s="2">
        <f t="shared" si="0"/>
        <v>2031</v>
      </c>
      <c r="Z3" s="2">
        <f t="shared" si="0"/>
        <v>2032</v>
      </c>
      <c r="AA3" s="2">
        <f t="shared" si="0"/>
        <v>2033</v>
      </c>
      <c r="AB3" s="2">
        <f t="shared" si="0"/>
        <v>2034</v>
      </c>
      <c r="AC3" s="2">
        <f t="shared" si="0"/>
        <v>2035</v>
      </c>
      <c r="AD3" s="2">
        <f t="shared" si="0"/>
        <v>2036</v>
      </c>
      <c r="AE3" s="2">
        <f t="shared" si="0"/>
        <v>2037</v>
      </c>
      <c r="AF3" s="2">
        <f t="shared" si="0"/>
        <v>2038</v>
      </c>
      <c r="AG3" s="2">
        <f t="shared" si="0"/>
        <v>2039</v>
      </c>
      <c r="AH3" s="2">
        <f t="shared" si="0"/>
        <v>2040</v>
      </c>
    </row>
    <row r="4" spans="1:34" s="30" customFormat="1" x14ac:dyDescent="0.2">
      <c r="A4" s="29" t="s">
        <v>100</v>
      </c>
      <c r="B4" s="29"/>
      <c r="C4" s="29"/>
      <c r="K4" s="30">
        <v>850</v>
      </c>
      <c r="N4" s="29"/>
    </row>
    <row r="5" spans="1:34" s="6" customFormat="1" x14ac:dyDescent="0.2">
      <c r="A5" s="5"/>
      <c r="B5" s="5"/>
      <c r="C5" s="5"/>
      <c r="N5" s="5"/>
    </row>
    <row r="6" spans="1:34" s="14" customFormat="1" x14ac:dyDescent="0.2">
      <c r="A6" s="7" t="s">
        <v>47</v>
      </c>
      <c r="B6" s="23">
        <v>332</v>
      </c>
      <c r="C6" s="23">
        <v>347</v>
      </c>
      <c r="D6" s="14">
        <v>363</v>
      </c>
      <c r="E6" s="14">
        <v>375</v>
      </c>
      <c r="F6" s="14">
        <v>383</v>
      </c>
      <c r="G6" s="14">
        <v>397</v>
      </c>
      <c r="H6" s="14">
        <v>406</v>
      </c>
      <c r="I6" s="14">
        <v>414</v>
      </c>
      <c r="J6" s="14">
        <v>422</v>
      </c>
      <c r="K6" s="14">
        <v>432</v>
      </c>
      <c r="L6" s="41">
        <v>443</v>
      </c>
      <c r="P6" s="14">
        <f>+E6</f>
        <v>375</v>
      </c>
      <c r="Q6" s="14">
        <f>+I6</f>
        <v>414</v>
      </c>
      <c r="R6" s="14">
        <f>+M6</f>
        <v>0</v>
      </c>
    </row>
    <row r="7" spans="1:34" x14ac:dyDescent="0.2">
      <c r="A7" s="8" t="s">
        <v>50</v>
      </c>
      <c r="B7" s="3">
        <v>98</v>
      </c>
      <c r="C7" s="3">
        <v>99</v>
      </c>
      <c r="D7" s="4">
        <v>100</v>
      </c>
      <c r="E7" s="4">
        <v>100</v>
      </c>
      <c r="F7" s="4">
        <v>100</v>
      </c>
      <c r="G7" s="4">
        <v>101</v>
      </c>
      <c r="H7" s="4">
        <v>101</v>
      </c>
      <c r="I7" s="4">
        <v>100</v>
      </c>
      <c r="J7" s="4">
        <v>100</v>
      </c>
      <c r="K7" s="4">
        <v>100</v>
      </c>
      <c r="L7" s="4">
        <v>100</v>
      </c>
      <c r="M7" s="4"/>
    </row>
    <row r="8" spans="1:34" s="6" customFormat="1" x14ac:dyDescent="0.2">
      <c r="A8" s="37" t="s">
        <v>107</v>
      </c>
      <c r="B8" s="5">
        <f>+B7/B6</f>
        <v>0.29518072289156627</v>
      </c>
      <c r="C8" s="5">
        <f>+C7/C6</f>
        <v>0.28530259365994237</v>
      </c>
      <c r="D8" s="5">
        <f>+D7/D6</f>
        <v>0.27548209366391185</v>
      </c>
      <c r="E8" s="5">
        <f>+E7/E6</f>
        <v>0.26666666666666666</v>
      </c>
      <c r="F8" s="5">
        <f>+F7/F6</f>
        <v>0.26109660574412535</v>
      </c>
      <c r="G8" s="5">
        <f>+G7/G6</f>
        <v>0.25440806045340053</v>
      </c>
      <c r="H8" s="5">
        <f>+H7/H6</f>
        <v>0.24876847290640394</v>
      </c>
      <c r="I8" s="5">
        <f>+I7/I6</f>
        <v>0.24154589371980675</v>
      </c>
      <c r="J8" s="6">
        <f>+J7/J6</f>
        <v>0.23696682464454977</v>
      </c>
      <c r="K8" s="6">
        <f>+K7/K6</f>
        <v>0.23148148148148148</v>
      </c>
      <c r="L8" s="6">
        <f>+L7/L6</f>
        <v>0.22573363431151242</v>
      </c>
    </row>
    <row r="9" spans="1:34" x14ac:dyDescent="0.2">
      <c r="A9" s="8" t="s">
        <v>51</v>
      </c>
      <c r="B9" s="3">
        <v>84</v>
      </c>
      <c r="C9" s="3">
        <v>86</v>
      </c>
      <c r="D9" s="4">
        <v>88</v>
      </c>
      <c r="E9" s="4">
        <v>92</v>
      </c>
      <c r="F9" s="4">
        <v>93</v>
      </c>
      <c r="G9" s="4">
        <v>94</v>
      </c>
      <c r="H9" s="4">
        <v>95</v>
      </c>
      <c r="I9" s="4">
        <v>96</v>
      </c>
      <c r="J9" s="4">
        <v>96</v>
      </c>
      <c r="K9" s="4">
        <v>97</v>
      </c>
      <c r="L9" s="4">
        <v>99</v>
      </c>
      <c r="M9" s="4"/>
    </row>
    <row r="10" spans="1:34" s="6" customFormat="1" x14ac:dyDescent="0.2">
      <c r="A10" s="37" t="s">
        <v>108</v>
      </c>
      <c r="B10" s="5">
        <f>+B9/B6</f>
        <v>0.25301204819277107</v>
      </c>
      <c r="C10" s="5">
        <f>+C9/C6</f>
        <v>0.2478386167146974</v>
      </c>
      <c r="D10" s="5">
        <f>+D9/D6</f>
        <v>0.24242424242424243</v>
      </c>
      <c r="E10" s="5">
        <f>+E9/E6</f>
        <v>0.24533333333333332</v>
      </c>
      <c r="F10" s="5">
        <f>+F9/F6</f>
        <v>0.24281984334203655</v>
      </c>
      <c r="G10" s="5">
        <f>+G9/G6</f>
        <v>0.23677581863979849</v>
      </c>
      <c r="H10" s="5">
        <f>+H9/H6</f>
        <v>0.23399014778325122</v>
      </c>
      <c r="I10" s="5">
        <f>+I9/I6</f>
        <v>0.2318840579710145</v>
      </c>
      <c r="J10" s="5">
        <f>+J9/J6</f>
        <v>0.22748815165876776</v>
      </c>
      <c r="K10" s="5">
        <f>+K9/K6</f>
        <v>0.22453703703703703</v>
      </c>
      <c r="L10" s="5">
        <f>+L9/L6</f>
        <v>0.2234762979683973</v>
      </c>
    </row>
    <row r="11" spans="1:34" x14ac:dyDescent="0.2">
      <c r="A11" s="8" t="s">
        <v>52</v>
      </c>
      <c r="B11" s="3">
        <v>150</v>
      </c>
      <c r="C11" s="3">
        <v>162</v>
      </c>
      <c r="D11" s="4">
        <v>175</v>
      </c>
      <c r="E11" s="4">
        <v>183</v>
      </c>
      <c r="F11" s="4">
        <v>190</v>
      </c>
      <c r="G11" s="4">
        <v>202</v>
      </c>
      <c r="H11" s="4">
        <v>211</v>
      </c>
      <c r="I11" s="4">
        <v>218</v>
      </c>
      <c r="J11" s="4">
        <v>226</v>
      </c>
      <c r="K11" s="4">
        <v>235</v>
      </c>
      <c r="L11" s="4">
        <v>244</v>
      </c>
      <c r="M11" s="4"/>
    </row>
    <row r="12" spans="1:34" s="6" customFormat="1" x14ac:dyDescent="0.2">
      <c r="A12" s="37" t="s">
        <v>109</v>
      </c>
      <c r="B12" s="5">
        <f>+B11/B6</f>
        <v>0.45180722891566266</v>
      </c>
      <c r="C12" s="5">
        <f>+C11/C6</f>
        <v>0.4668587896253602</v>
      </c>
      <c r="D12" s="5">
        <f>+D11/D6</f>
        <v>0.48209366391184572</v>
      </c>
      <c r="E12" s="5">
        <f>+E11/E6</f>
        <v>0.48799999999999999</v>
      </c>
      <c r="F12" s="5">
        <f>+F11/F6</f>
        <v>0.4960835509138381</v>
      </c>
      <c r="G12" s="5">
        <f>+G11/G6</f>
        <v>0.50881612090680106</v>
      </c>
      <c r="H12" s="5">
        <f>+H11/H6</f>
        <v>0.51970443349753692</v>
      </c>
      <c r="I12" s="5">
        <f>+I11/I6</f>
        <v>0.52657004830917875</v>
      </c>
      <c r="J12" s="5">
        <f>+J11/J6</f>
        <v>0.53554502369668244</v>
      </c>
      <c r="K12" s="5">
        <f>+K11/K6</f>
        <v>0.54398148148148151</v>
      </c>
      <c r="L12" s="5">
        <f>+L11/L6</f>
        <v>0.55079006772009032</v>
      </c>
    </row>
    <row r="13" spans="1:34" x14ac:dyDescent="0.2">
      <c r="A13" s="8"/>
      <c r="L13" s="4"/>
      <c r="M13" s="4"/>
    </row>
    <row r="14" spans="1:34" s="11" customFormat="1" x14ac:dyDescent="0.2">
      <c r="A14" s="10" t="s">
        <v>5</v>
      </c>
      <c r="B14" s="11">
        <f>+B24/B6</f>
        <v>3.2009849397590364</v>
      </c>
      <c r="C14" s="11">
        <f>+C24/C6</f>
        <v>3.2014668587896256</v>
      </c>
      <c r="D14" s="11">
        <f>+D24/D6</f>
        <v>3.1087493112947659</v>
      </c>
      <c r="E14" s="11">
        <f>+E24/E6</f>
        <v>3.4659599999999999</v>
      </c>
      <c r="F14" s="11">
        <f>+F24/F6</f>
        <v>2.5812219321148824</v>
      </c>
      <c r="G14" s="11">
        <f>+G24/G6</f>
        <v>2.6893425692695216</v>
      </c>
      <c r="H14" s="11">
        <f>+H24/H6</f>
        <v>2.9274655172413793</v>
      </c>
      <c r="I14" s="11">
        <f>+I24/I6</f>
        <v>3.2881328502415452</v>
      </c>
      <c r="J14" s="11">
        <f>+J24/J6</f>
        <v>2.8312156398104262</v>
      </c>
      <c r="K14" s="11">
        <f>+K24/K6</f>
        <v>2.862888888888889</v>
      </c>
      <c r="L14" s="11">
        <f>+L24/L6</f>
        <v>3.0983611738148986</v>
      </c>
      <c r="P14" s="11">
        <f>+P24/P6</f>
        <v>12.270586666666667</v>
      </c>
      <c r="Q14" s="11">
        <f>+Q24/Q6</f>
        <v>11.125881642512077</v>
      </c>
      <c r="R14" s="11" t="e">
        <f>+R24/R6</f>
        <v>#DIV/0!</v>
      </c>
    </row>
    <row r="15" spans="1:34" s="13" customFormat="1" x14ac:dyDescent="0.2">
      <c r="A15" s="12" t="s">
        <v>50</v>
      </c>
      <c r="B15" s="40">
        <f t="shared" ref="B15:J15" si="1">+B21/B7</f>
        <v>7.7373571428571424</v>
      </c>
      <c r="C15" s="40">
        <f t="shared" si="1"/>
        <v>7.9361717171717174</v>
      </c>
      <c r="D15" s="40">
        <f t="shared" si="1"/>
        <v>8.1160199999999989</v>
      </c>
      <c r="E15" s="40">
        <f t="shared" si="1"/>
        <v>8.8030999999999988</v>
      </c>
      <c r="F15" s="40">
        <f t="shared" si="1"/>
        <v>6.3989599999999998</v>
      </c>
      <c r="G15" s="40">
        <f t="shared" si="1"/>
        <v>6.8002871287128706</v>
      </c>
      <c r="H15" s="40">
        <f t="shared" si="1"/>
        <v>7.7837029702970293</v>
      </c>
      <c r="I15" s="40">
        <f t="shared" si="1"/>
        <v>8.9954200000000011</v>
      </c>
      <c r="J15" s="40">
        <f t="shared" si="1"/>
        <v>7.4313099999999999</v>
      </c>
      <c r="K15" s="40">
        <f>+K21/K7</f>
        <v>7.6955999999999998</v>
      </c>
      <c r="L15" s="40">
        <f>+L21/L7</f>
        <v>8.5762099999999997</v>
      </c>
      <c r="M15" s="12"/>
      <c r="N15" s="12"/>
    </row>
    <row r="16" spans="1:34" s="13" customFormat="1" x14ac:dyDescent="0.2">
      <c r="A16" s="12" t="s">
        <v>51</v>
      </c>
      <c r="B16" s="13">
        <f t="shared" ref="B16:J16" si="2">+B22/B9</f>
        <v>1.9301428571428572</v>
      </c>
      <c r="C16" s="13">
        <f t="shared" si="2"/>
        <v>1.9778720930232558</v>
      </c>
      <c r="D16" s="13">
        <f t="shared" si="2"/>
        <v>1.8340454545454543</v>
      </c>
      <c r="E16" s="13">
        <f t="shared" si="2"/>
        <v>2.3755652173913044</v>
      </c>
      <c r="F16" s="13">
        <f t="shared" si="2"/>
        <v>1.6963440860215053</v>
      </c>
      <c r="G16" s="13">
        <f t="shared" si="2"/>
        <v>1.9373297872340427</v>
      </c>
      <c r="H16" s="13">
        <f t="shared" si="2"/>
        <v>2.1081263157894736</v>
      </c>
      <c r="I16" s="13">
        <f t="shared" si="2"/>
        <v>2.4818020833333332</v>
      </c>
      <c r="J16" s="13">
        <f t="shared" si="2"/>
        <v>2.0400416666666668</v>
      </c>
      <c r="K16" s="13">
        <f>+K22/K9</f>
        <v>2.3694329896907216</v>
      </c>
      <c r="L16" s="13">
        <f>+L22/L9</f>
        <v>2.514161616161616</v>
      </c>
      <c r="M16" s="12"/>
      <c r="N16" s="12"/>
    </row>
    <row r="17" spans="1:34" s="13" customFormat="1" x14ac:dyDescent="0.2">
      <c r="A17" s="12" t="s">
        <v>52</v>
      </c>
      <c r="B17" s="13">
        <f t="shared" ref="B17:J17" si="3">+B23/B11</f>
        <v>0.94889333333333337</v>
      </c>
      <c r="C17" s="13">
        <f t="shared" si="3"/>
        <v>0.95759876543209876</v>
      </c>
      <c r="D17" s="13">
        <f t="shared" si="3"/>
        <v>0.88844571428571428</v>
      </c>
      <c r="E17" s="13">
        <f t="shared" si="3"/>
        <v>1.0976666666666666</v>
      </c>
      <c r="F17" s="13">
        <f t="shared" si="3"/>
        <v>1.0050105263157894</v>
      </c>
      <c r="G17" s="13">
        <f t="shared" si="3"/>
        <v>0.98381683168316825</v>
      </c>
      <c r="H17" s="13">
        <f t="shared" si="3"/>
        <v>0.95793838862559244</v>
      </c>
      <c r="I17" s="13">
        <f t="shared" si="3"/>
        <v>1.0251926605504587</v>
      </c>
      <c r="J17" s="13">
        <f t="shared" si="3"/>
        <v>1.1318495575221239</v>
      </c>
      <c r="K17" s="13">
        <f>+K23/K11</f>
        <v>1.0186085106382978</v>
      </c>
      <c r="L17" s="13">
        <f>+L23/L11</f>
        <v>1.090372950819672</v>
      </c>
      <c r="M17" s="12"/>
      <c r="N17" s="12"/>
    </row>
    <row r="18" spans="1:34" s="2" customFormat="1" x14ac:dyDescent="0.2">
      <c r="A18" s="1"/>
      <c r="B18" s="1"/>
      <c r="C18" s="1"/>
      <c r="L18" s="1"/>
      <c r="M18" s="1"/>
      <c r="N18" s="1"/>
    </row>
    <row r="19" spans="1:34" s="43" customFormat="1" x14ac:dyDescent="0.2">
      <c r="A19" s="42" t="s">
        <v>57</v>
      </c>
      <c r="B19" s="42"/>
      <c r="C19" s="42"/>
      <c r="K19" s="31">
        <v>11</v>
      </c>
      <c r="L19" s="43">
        <v>12</v>
      </c>
    </row>
    <row r="20" spans="1:34" s="17" customFormat="1" x14ac:dyDescent="0.2">
      <c r="A20" s="16"/>
      <c r="B20" s="16"/>
      <c r="C20" s="16"/>
      <c r="K20" s="14"/>
    </row>
    <row r="21" spans="1:34" s="22" customFormat="1" x14ac:dyDescent="0.2">
      <c r="A21" s="16" t="s">
        <v>68</v>
      </c>
      <c r="B21" s="21">
        <v>758.26099999999997</v>
      </c>
      <c r="C21" s="21">
        <v>785.68100000000004</v>
      </c>
      <c r="D21" s="22">
        <v>811.60199999999998</v>
      </c>
      <c r="E21" s="22">
        <v>880.31</v>
      </c>
      <c r="F21" s="22">
        <v>639.89599999999996</v>
      </c>
      <c r="G21" s="22">
        <v>686.82899999999995</v>
      </c>
      <c r="H21" s="22">
        <v>786.154</v>
      </c>
      <c r="I21" s="22">
        <v>899.54200000000003</v>
      </c>
      <c r="J21" s="22">
        <v>743.13099999999997</v>
      </c>
      <c r="K21" s="39">
        <v>769.56</v>
      </c>
      <c r="L21" s="22">
        <v>857.62099999999998</v>
      </c>
    </row>
    <row r="22" spans="1:34" s="22" customFormat="1" x14ac:dyDescent="0.2">
      <c r="A22" s="16" t="s">
        <v>69</v>
      </c>
      <c r="B22" s="21">
        <v>162.13200000000001</v>
      </c>
      <c r="C22" s="21">
        <v>170.09700000000001</v>
      </c>
      <c r="D22" s="22">
        <v>161.39599999999999</v>
      </c>
      <c r="E22" s="22">
        <v>218.55199999999999</v>
      </c>
      <c r="F22" s="22">
        <v>157.76</v>
      </c>
      <c r="G22" s="22">
        <v>182.10900000000001</v>
      </c>
      <c r="H22" s="22">
        <v>200.27199999999999</v>
      </c>
      <c r="I22" s="22">
        <v>238.25299999999999</v>
      </c>
      <c r="J22" s="22">
        <v>195.84399999999999</v>
      </c>
      <c r="K22" s="39">
        <v>229.83500000000001</v>
      </c>
      <c r="L22" s="22">
        <v>248.90199999999999</v>
      </c>
    </row>
    <row r="23" spans="1:34" x14ac:dyDescent="0.2">
      <c r="A23" s="16" t="s">
        <v>70</v>
      </c>
      <c r="B23" s="3">
        <v>142.334</v>
      </c>
      <c r="C23" s="3">
        <v>155.131</v>
      </c>
      <c r="D23" s="4">
        <v>155.47800000000001</v>
      </c>
      <c r="E23" s="4">
        <v>200.87299999999999</v>
      </c>
      <c r="F23" s="4">
        <v>190.952</v>
      </c>
      <c r="G23" s="4">
        <v>198.73099999999999</v>
      </c>
      <c r="H23" s="4">
        <v>202.125</v>
      </c>
      <c r="I23" s="4">
        <v>223.49199999999999</v>
      </c>
      <c r="J23" s="4">
        <v>255.798</v>
      </c>
      <c r="K23" s="4">
        <v>239.37299999999999</v>
      </c>
      <c r="L23" s="3">
        <v>266.05099999999999</v>
      </c>
    </row>
    <row r="24" spans="1:34" s="14" customFormat="1" x14ac:dyDescent="0.2">
      <c r="A24" s="7" t="s">
        <v>3</v>
      </c>
      <c r="B24" s="14">
        <v>1062.7270000000001</v>
      </c>
      <c r="C24" s="14">
        <v>1110.9090000000001</v>
      </c>
      <c r="D24" s="14">
        <v>1128.4760000000001</v>
      </c>
      <c r="E24" s="14">
        <v>1299.7349999999999</v>
      </c>
      <c r="F24" s="14">
        <v>988.60799999999995</v>
      </c>
      <c r="G24" s="14">
        <v>1067.6690000000001</v>
      </c>
      <c r="H24" s="14">
        <v>1188.5509999999999</v>
      </c>
      <c r="I24" s="14">
        <f>Q24-SUM(F24:H24)</f>
        <v>1361.2869999999998</v>
      </c>
      <c r="J24" s="14">
        <v>1194.7729999999999</v>
      </c>
      <c r="K24" s="14">
        <v>1236.768</v>
      </c>
      <c r="L24" s="14">
        <v>1372.5740000000001</v>
      </c>
      <c r="M24" s="14">
        <f>+L24*1.07</f>
        <v>1468.6541800000002</v>
      </c>
      <c r="O24" s="14">
        <v>4117.0479999999998</v>
      </c>
      <c r="P24" s="14">
        <v>4601.47</v>
      </c>
      <c r="Q24" s="14">
        <v>4606.1149999999998</v>
      </c>
      <c r="R24" s="14">
        <f>SUM(J24:M24)</f>
        <v>5272.7691800000002</v>
      </c>
    </row>
    <row r="25" spans="1:34" x14ac:dyDescent="0.2">
      <c r="A25" s="8" t="s">
        <v>4</v>
      </c>
      <c r="B25" s="4">
        <v>420.89699999999999</v>
      </c>
      <c r="C25" s="4">
        <v>446.37700000000001</v>
      </c>
      <c r="D25" s="4">
        <v>466.75700000000001</v>
      </c>
      <c r="E25" s="4">
        <v>481.31099999999998</v>
      </c>
      <c r="F25" s="4">
        <v>439.98599999999999</v>
      </c>
      <c r="G25" s="4">
        <v>496.87400000000002</v>
      </c>
      <c r="H25" s="4">
        <v>555.75300000000004</v>
      </c>
      <c r="I25" s="4">
        <f>+Q25-SUM(F25:H25)</f>
        <v>621.50400000000013</v>
      </c>
      <c r="J25" s="4">
        <v>574.74900000000002</v>
      </c>
      <c r="K25" s="4">
        <v>588.92100000000005</v>
      </c>
      <c r="L25" s="4">
        <v>638.90700000000004</v>
      </c>
      <c r="M25" s="4">
        <f t="shared" ref="M25" si="4">+L25*1.05</f>
        <v>670.85235000000011</v>
      </c>
      <c r="N25" s="4"/>
      <c r="O25" s="4">
        <v>1750.2460000000001</v>
      </c>
      <c r="P25" s="4">
        <v>1815.3420000000001</v>
      </c>
      <c r="Q25" s="4">
        <v>2114.1170000000002</v>
      </c>
      <c r="R25" s="14">
        <f>SUM(J25:M25)</f>
        <v>2473.4293500000003</v>
      </c>
    </row>
    <row r="26" spans="1:34" s="14" customFormat="1" x14ac:dyDescent="0.2">
      <c r="A26" s="7" t="s">
        <v>20</v>
      </c>
      <c r="B26" s="14">
        <f t="shared" ref="B26:J26" si="5">+B24-B25</f>
        <v>641.83000000000015</v>
      </c>
      <c r="C26" s="14">
        <f t="shared" si="5"/>
        <v>664.53200000000015</v>
      </c>
      <c r="D26" s="14">
        <f t="shared" si="5"/>
        <v>661.71900000000005</v>
      </c>
      <c r="E26" s="14">
        <f t="shared" si="5"/>
        <v>818.42399999999998</v>
      </c>
      <c r="F26" s="14">
        <f t="shared" si="5"/>
        <v>548.62199999999996</v>
      </c>
      <c r="G26" s="14">
        <f t="shared" si="5"/>
        <v>570.79500000000007</v>
      </c>
      <c r="H26" s="14">
        <f t="shared" si="5"/>
        <v>632.79799999999989</v>
      </c>
      <c r="I26" s="14">
        <f t="shared" si="5"/>
        <v>739.78299999999967</v>
      </c>
      <c r="J26" s="14">
        <f t="shared" si="5"/>
        <v>620.02399999999989</v>
      </c>
      <c r="K26" s="14">
        <f t="shared" ref="K26" si="6">+K24-K25</f>
        <v>647.84699999999998</v>
      </c>
      <c r="L26" s="14">
        <f t="shared" ref="L26" si="7">+L24-L25</f>
        <v>733.66700000000003</v>
      </c>
      <c r="M26" s="14">
        <f t="shared" ref="M26" si="8">+M24-M25</f>
        <v>797.80183000000011</v>
      </c>
      <c r="O26" s="14">
        <f>+O24-O25</f>
        <v>2366.8019999999997</v>
      </c>
      <c r="P26" s="14">
        <f>+P24-P25</f>
        <v>2786.1280000000002</v>
      </c>
      <c r="Q26" s="14">
        <f>+Q24-Q25</f>
        <v>2491.9979999999996</v>
      </c>
      <c r="R26" s="14">
        <f>+R24-R25</f>
        <v>2799.3398299999999</v>
      </c>
    </row>
    <row r="27" spans="1:34" x14ac:dyDescent="0.2">
      <c r="A27" s="8" t="s">
        <v>12</v>
      </c>
      <c r="B27" s="4">
        <v>455.56299999999999</v>
      </c>
      <c r="C27" s="4">
        <v>505.03699999999998</v>
      </c>
      <c r="D27" s="4">
        <v>564.25800000000004</v>
      </c>
      <c r="E27" s="4">
        <v>584.94200000000001</v>
      </c>
      <c r="F27" s="4">
        <v>455.11200000000002</v>
      </c>
      <c r="G27" s="4">
        <v>477.66300000000001</v>
      </c>
      <c r="H27" s="4">
        <v>494.55900000000003</v>
      </c>
      <c r="I27" s="4">
        <f>+Q27-SUM(F27:H27)</f>
        <v>483.52800000000002</v>
      </c>
      <c r="J27" s="4">
        <v>449.75900000000001</v>
      </c>
      <c r="K27" s="4">
        <v>406.19600000000003</v>
      </c>
      <c r="L27" s="4">
        <v>412.791</v>
      </c>
      <c r="M27" s="4">
        <f t="shared" ref="M27" si="9">+M24*0.3</f>
        <v>440.59625400000004</v>
      </c>
      <c r="N27" s="4"/>
      <c r="O27" s="4">
        <v>1565.4670000000001</v>
      </c>
      <c r="P27" s="4">
        <v>2109.8000000000002</v>
      </c>
      <c r="Q27" s="4">
        <v>1910.8620000000001</v>
      </c>
      <c r="R27" s="14">
        <f>SUM(J27:M27)</f>
        <v>1709.3422540000001</v>
      </c>
    </row>
    <row r="28" spans="1:34" x14ac:dyDescent="0.2">
      <c r="A28" s="8" t="s">
        <v>13</v>
      </c>
      <c r="B28" s="4">
        <v>241.886</v>
      </c>
      <c r="C28" s="4">
        <v>311.37400000000002</v>
      </c>
      <c r="D28" s="4">
        <v>270.33600000000001</v>
      </c>
      <c r="E28" s="4">
        <v>295.14999999999998</v>
      </c>
      <c r="F28" s="4">
        <v>268.43299999999999</v>
      </c>
      <c r="G28" s="4">
        <v>280.59699999999998</v>
      </c>
      <c r="H28" s="4">
        <v>297.25099999999998</v>
      </c>
      <c r="I28" s="4">
        <f>+Q28-SUM(F28:H28)</f>
        <v>275.81100000000015</v>
      </c>
      <c r="J28" s="4">
        <v>276.03399999999999</v>
      </c>
      <c r="K28" s="4">
        <v>266.32</v>
      </c>
      <c r="L28" s="4">
        <v>273.10700000000003</v>
      </c>
      <c r="M28" s="4">
        <f t="shared" ref="M28" si="10">+M24*0.18</f>
        <v>264.35775240000004</v>
      </c>
      <c r="N28" s="4"/>
      <c r="O28" s="4">
        <v>792.76400000000001</v>
      </c>
      <c r="P28" s="4">
        <v>1118.7460000000001</v>
      </c>
      <c r="Q28" s="4">
        <v>1122.0920000000001</v>
      </c>
      <c r="R28" s="14">
        <f t="shared" ref="R28:R29" si="11">SUM(J28:M28)</f>
        <v>1079.8187524</v>
      </c>
    </row>
    <row r="29" spans="1:34" x14ac:dyDescent="0.2">
      <c r="A29" s="8" t="s">
        <v>14</v>
      </c>
      <c r="B29" s="4">
        <v>215.90799999999999</v>
      </c>
      <c r="C29" s="4">
        <v>249.06100000000001</v>
      </c>
      <c r="D29" s="4">
        <v>262.36700000000002</v>
      </c>
      <c r="E29" s="4">
        <v>225.929</v>
      </c>
      <c r="F29" s="4">
        <v>190.34100000000001</v>
      </c>
      <c r="G29" s="4">
        <v>216.874</v>
      </c>
      <c r="H29" s="4">
        <v>221.05099999999999</v>
      </c>
      <c r="I29" s="4">
        <f>+Q29-SUM(F29:H29)</f>
        <v>229.15699999999993</v>
      </c>
      <c r="J29" s="4">
        <v>227.46299999999999</v>
      </c>
      <c r="K29" s="4">
        <v>229.30600000000001</v>
      </c>
      <c r="L29" s="4">
        <v>220.97900000000001</v>
      </c>
      <c r="M29" s="4">
        <f t="shared" ref="M29" si="12">+M24*0.15</f>
        <v>220.29812700000002</v>
      </c>
      <c r="N29" s="4"/>
      <c r="O29" s="4">
        <v>710.64</v>
      </c>
      <c r="P29" s="4">
        <v>953.26499999999999</v>
      </c>
      <c r="Q29" s="4">
        <v>857.423</v>
      </c>
      <c r="R29" s="14">
        <f t="shared" si="11"/>
        <v>898.04612700000007</v>
      </c>
    </row>
    <row r="30" spans="1:34" x14ac:dyDescent="0.2">
      <c r="A30" s="32" t="s">
        <v>102</v>
      </c>
      <c r="B30" s="4">
        <f t="shared" ref="B30:I30" si="13">SUM(B27:B29)</f>
        <v>913.35699999999997</v>
      </c>
      <c r="C30" s="4">
        <f t="shared" si="13"/>
        <v>1065.472</v>
      </c>
      <c r="D30" s="4">
        <f t="shared" si="13"/>
        <v>1096.961</v>
      </c>
      <c r="E30" s="4">
        <f t="shared" si="13"/>
        <v>1106.021</v>
      </c>
      <c r="F30" s="4">
        <f t="shared" si="13"/>
        <v>913.88600000000008</v>
      </c>
      <c r="G30" s="4">
        <f t="shared" si="13"/>
        <v>975.13400000000001</v>
      </c>
      <c r="H30" s="4">
        <f t="shared" si="13"/>
        <v>1012.8609999999999</v>
      </c>
      <c r="I30" s="4">
        <f t="shared" si="13"/>
        <v>988.49600000000009</v>
      </c>
      <c r="J30" s="4">
        <f>SUM(J27:J29)</f>
        <v>953.25599999999997</v>
      </c>
      <c r="K30" s="4">
        <f t="shared" ref="K30" si="14">SUM(K27:K29)</f>
        <v>901.82200000000012</v>
      </c>
      <c r="L30" s="4">
        <f t="shared" ref="L30" si="15">SUM(L27:L29)</f>
        <v>906.87700000000007</v>
      </c>
      <c r="M30" s="4">
        <f t="shared" ref="M30" si="16">SUM(M27:M29)</f>
        <v>925.25213340000005</v>
      </c>
      <c r="N30" s="4"/>
      <c r="O30" s="4">
        <f>SUM(O27:O29)</f>
        <v>3068.8710000000001</v>
      </c>
      <c r="P30" s="4">
        <f>SUM(P27:P29)</f>
        <v>4181.8110000000006</v>
      </c>
      <c r="Q30" s="4">
        <f>SUM(Q27:Q29)</f>
        <v>3890.3770000000004</v>
      </c>
      <c r="R30" s="4">
        <f>SUM(R27:R29)</f>
        <v>3687.2071334000002</v>
      </c>
    </row>
    <row r="31" spans="1:34" s="14" customFormat="1" x14ac:dyDescent="0.2">
      <c r="A31" s="7" t="s">
        <v>101</v>
      </c>
      <c r="B31" s="14">
        <f t="shared" ref="B31:I31" si="17">+B26-B30</f>
        <v>-271.52699999999982</v>
      </c>
      <c r="C31" s="14">
        <f t="shared" si="17"/>
        <v>-400.93999999999983</v>
      </c>
      <c r="D31" s="14">
        <f t="shared" si="17"/>
        <v>-435.24199999999996</v>
      </c>
      <c r="E31" s="14">
        <f t="shared" si="17"/>
        <v>-287.59699999999998</v>
      </c>
      <c r="F31" s="14">
        <f t="shared" si="17"/>
        <v>-365.26400000000012</v>
      </c>
      <c r="G31" s="14">
        <f t="shared" si="17"/>
        <v>-404.33899999999994</v>
      </c>
      <c r="H31" s="14">
        <f t="shared" si="17"/>
        <v>-380.06299999999999</v>
      </c>
      <c r="I31" s="14">
        <f t="shared" si="17"/>
        <v>-248.71300000000042</v>
      </c>
      <c r="J31" s="14">
        <f>+J26-J30</f>
        <v>-333.23200000000008</v>
      </c>
      <c r="K31" s="14">
        <f t="shared" ref="K31" si="18">+K26-K30</f>
        <v>-253.97500000000014</v>
      </c>
      <c r="L31" s="14">
        <f t="shared" ref="L31" si="19">+L26-L30</f>
        <v>-173.21000000000004</v>
      </c>
      <c r="M31" s="14">
        <f t="shared" ref="M31" si="20">+M26-M30</f>
        <v>-127.45030339999994</v>
      </c>
      <c r="O31" s="14">
        <f>+O26-O30</f>
        <v>-702.06900000000041</v>
      </c>
      <c r="P31" s="14">
        <f>+P26-P30</f>
        <v>-1395.6830000000004</v>
      </c>
      <c r="Q31" s="14">
        <f>+Q26-Q30</f>
        <v>-1398.3790000000008</v>
      </c>
      <c r="R31" s="14">
        <f>+R26-R30</f>
        <v>-887.86730340000031</v>
      </c>
    </row>
    <row r="32" spans="1:34" x14ac:dyDescent="0.2">
      <c r="A32" s="8" t="s">
        <v>15</v>
      </c>
      <c r="B32" s="4">
        <v>3.1230000000000002</v>
      </c>
      <c r="C32" s="4">
        <v>8.3309999999999995</v>
      </c>
      <c r="D32" s="4">
        <v>18.445</v>
      </c>
      <c r="E32" s="4">
        <v>28.698</v>
      </c>
      <c r="F32" s="4">
        <v>37.948</v>
      </c>
      <c r="G32" s="4">
        <v>43.143999999999998</v>
      </c>
      <c r="H32" s="4">
        <v>43.838999999999999</v>
      </c>
      <c r="I32" s="4">
        <f>+Q32-SUM(F32:H32)</f>
        <v>43.463000000000008</v>
      </c>
      <c r="J32" s="4">
        <v>39.898000000000003</v>
      </c>
      <c r="K32" s="4">
        <v>36.462000000000003</v>
      </c>
      <c r="L32" s="4">
        <v>38.533000000000001</v>
      </c>
      <c r="M32" s="4">
        <v>43.838999999999999</v>
      </c>
      <c r="N32" s="4"/>
      <c r="O32" s="4">
        <v>5.1989999999999998</v>
      </c>
      <c r="P32" s="4">
        <v>58.597000000000001</v>
      </c>
      <c r="Q32" s="4">
        <v>168.39400000000001</v>
      </c>
      <c r="R32" s="14">
        <f t="shared" ref="R32:R34" si="21">SUM(J32:M32)</f>
        <v>158.73200000000003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x14ac:dyDescent="0.2">
      <c r="A33" s="8" t="s">
        <v>16</v>
      </c>
      <c r="B33" s="4">
        <v>-5.173</v>
      </c>
      <c r="C33" s="4">
        <v>-5.5490000000000004</v>
      </c>
      <c r="D33" s="4">
        <v>-5.4249999999999998</v>
      </c>
      <c r="E33" s="4">
        <v>-5.3120000000000003</v>
      </c>
      <c r="F33" s="4">
        <v>-5.8849999999999998</v>
      </c>
      <c r="G33" s="4">
        <v>-5.343</v>
      </c>
      <c r="H33" s="4">
        <v>-5.5209999999999999</v>
      </c>
      <c r="I33" s="4">
        <f>+Q33-SUM(F33:H33)</f>
        <v>-5.2750000000000021</v>
      </c>
      <c r="J33" s="4">
        <v>-4.7430000000000003</v>
      </c>
      <c r="K33" s="4">
        <v>-5.1130000000000004</v>
      </c>
      <c r="L33" s="4">
        <v>-5.883</v>
      </c>
      <c r="M33" s="4">
        <v>-5.5209999999999999</v>
      </c>
      <c r="N33" s="4"/>
      <c r="O33" s="4">
        <v>-17.675999999999998</v>
      </c>
      <c r="P33" s="4">
        <v>-21.459</v>
      </c>
      <c r="Q33" s="4">
        <v>-22.024000000000001</v>
      </c>
      <c r="R33" s="14">
        <f t="shared" si="21"/>
        <v>-21.26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x14ac:dyDescent="0.2">
      <c r="A34" s="20" t="s">
        <v>39</v>
      </c>
      <c r="B34" s="4">
        <v>-77.537000000000006</v>
      </c>
      <c r="C34" s="4">
        <v>-16.91</v>
      </c>
      <c r="D34" s="4">
        <v>71.960999999999999</v>
      </c>
      <c r="E34" s="4">
        <v>-20.042999999999999</v>
      </c>
      <c r="F34" s="4">
        <v>11.372</v>
      </c>
      <c r="G34" s="4">
        <v>1.323</v>
      </c>
      <c r="H34" s="4">
        <v>-20.661999999999999</v>
      </c>
      <c r="I34" s="4">
        <f>+Q34-SUM(F34:H34)</f>
        <v>-34.447000000000003</v>
      </c>
      <c r="J34" s="4">
        <v>-8.1000000000000003E-2</v>
      </c>
      <c r="K34" s="4">
        <v>-20.792000000000002</v>
      </c>
      <c r="L34" s="4">
        <v>-4.3550000000000004</v>
      </c>
      <c r="M34" s="4">
        <v>-10</v>
      </c>
      <c r="N34" s="4"/>
      <c r="O34" s="4">
        <v>240.17500000000001</v>
      </c>
      <c r="P34" s="4">
        <v>-42.529000000000003</v>
      </c>
      <c r="Q34" s="4">
        <v>-42.414000000000001</v>
      </c>
      <c r="R34" s="14">
        <f t="shared" si="21"/>
        <v>-35.228000000000002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x14ac:dyDescent="0.2">
      <c r="A35" s="20" t="s">
        <v>74</v>
      </c>
      <c r="B35" s="4">
        <f t="shared" ref="B35:I35" si="22">+B31+SUM(B32:B34)</f>
        <v>-351.11399999999981</v>
      </c>
      <c r="C35" s="4">
        <f t="shared" si="22"/>
        <v>-415.06799999999981</v>
      </c>
      <c r="D35" s="4">
        <f t="shared" si="22"/>
        <v>-350.26099999999997</v>
      </c>
      <c r="E35" s="4">
        <f t="shared" si="22"/>
        <v>-284.25399999999996</v>
      </c>
      <c r="F35" s="4">
        <f t="shared" si="22"/>
        <v>-321.82900000000012</v>
      </c>
      <c r="G35" s="4">
        <f t="shared" si="22"/>
        <v>-365.21499999999992</v>
      </c>
      <c r="H35" s="4">
        <f t="shared" si="22"/>
        <v>-362.40699999999998</v>
      </c>
      <c r="I35" s="4">
        <f t="shared" si="22"/>
        <v>-244.97200000000043</v>
      </c>
      <c r="J35" s="4">
        <f>+J31+SUM(J32:J34)</f>
        <v>-298.15800000000007</v>
      </c>
      <c r="K35" s="4">
        <f t="shared" ref="K35:M35" si="23">+K31+SUM(K32:K34)</f>
        <v>-243.41800000000012</v>
      </c>
      <c r="L35" s="4">
        <f t="shared" si="23"/>
        <v>-144.91500000000005</v>
      </c>
      <c r="M35" s="4">
        <f t="shared" si="23"/>
        <v>-99.132303399999941</v>
      </c>
      <c r="N35" s="4"/>
      <c r="O35" s="4">
        <f t="shared" ref="O35" si="24">+O31+SUM(O32:O34)</f>
        <v>-474.37100000000044</v>
      </c>
      <c r="P35" s="4">
        <f t="shared" ref="P35" si="25">+P31+SUM(P32:P34)</f>
        <v>-1401.0740000000005</v>
      </c>
      <c r="Q35" s="4">
        <f t="shared" ref="Q35" si="26">+Q31+SUM(Q32:Q34)</f>
        <v>-1294.4230000000009</v>
      </c>
      <c r="R35" s="4">
        <f t="shared" ref="R35" si="27">+R31+SUM(R32:R34)</f>
        <v>-785.62330340000028</v>
      </c>
    </row>
    <row r="36" spans="1:34" x14ac:dyDescent="0.2">
      <c r="A36" s="20" t="s">
        <v>75</v>
      </c>
      <c r="B36" s="4">
        <v>8.51</v>
      </c>
      <c r="C36" s="4">
        <v>6.9989999999999997</v>
      </c>
      <c r="D36" s="4">
        <v>9.2409999999999997</v>
      </c>
      <c r="E36" s="4">
        <v>4.2060000000000004</v>
      </c>
      <c r="F36" s="4">
        <v>6.8449999999999998</v>
      </c>
      <c r="G36" s="4">
        <v>12.093</v>
      </c>
      <c r="H36" s="4">
        <v>5.8490000000000002</v>
      </c>
      <c r="I36" s="4">
        <f>+Q36-SUM(F36:H36)</f>
        <v>3.2750000000000021</v>
      </c>
      <c r="J36" s="4">
        <v>6.9320000000000004</v>
      </c>
      <c r="K36" s="4">
        <v>5.202</v>
      </c>
      <c r="L36" s="4">
        <v>8.3320000000000007</v>
      </c>
      <c r="M36" s="4">
        <v>7</v>
      </c>
      <c r="N36" s="4"/>
      <c r="O36" s="4">
        <v>13.584</v>
      </c>
      <c r="P36" s="4">
        <v>28.956</v>
      </c>
      <c r="Q36" s="4">
        <v>28.062000000000001</v>
      </c>
      <c r="R36" s="14">
        <f>SUM(J36:M36)</f>
        <v>27.466000000000001</v>
      </c>
    </row>
    <row r="37" spans="1:34" s="14" customFormat="1" x14ac:dyDescent="0.2">
      <c r="A37" s="7" t="s">
        <v>17</v>
      </c>
      <c r="B37" s="14">
        <f t="shared" ref="B37:I37" si="28">+B35-B36</f>
        <v>-359.6239999999998</v>
      </c>
      <c r="C37" s="14">
        <f t="shared" si="28"/>
        <v>-422.06699999999984</v>
      </c>
      <c r="D37" s="14">
        <f t="shared" si="28"/>
        <v>-359.50199999999995</v>
      </c>
      <c r="E37" s="14">
        <f t="shared" si="28"/>
        <v>-288.45999999999998</v>
      </c>
      <c r="F37" s="14">
        <f t="shared" si="28"/>
        <v>-328.67400000000015</v>
      </c>
      <c r="G37" s="14">
        <f t="shared" si="28"/>
        <v>-377.30799999999994</v>
      </c>
      <c r="H37" s="14">
        <f t="shared" si="28"/>
        <v>-368.25599999999997</v>
      </c>
      <c r="I37" s="14">
        <f t="shared" si="28"/>
        <v>-248.24700000000044</v>
      </c>
      <c r="J37" s="14">
        <f t="shared" ref="J37:M37" si="29">+J35-J36</f>
        <v>-305.09000000000009</v>
      </c>
      <c r="K37" s="14">
        <f t="shared" si="29"/>
        <v>-248.62000000000012</v>
      </c>
      <c r="L37" s="14">
        <f t="shared" si="29"/>
        <v>-153.24700000000004</v>
      </c>
      <c r="M37" s="14">
        <f t="shared" si="29"/>
        <v>-106.13230339999994</v>
      </c>
      <c r="O37" s="14">
        <f>+O35-O36</f>
        <v>-487.95500000000044</v>
      </c>
      <c r="P37" s="14">
        <f>+P35-P36</f>
        <v>-1430.0300000000004</v>
      </c>
      <c r="Q37" s="14">
        <f>+Q35-Q36</f>
        <v>-1322.4850000000008</v>
      </c>
      <c r="R37" s="14">
        <f t="shared" ref="R37" si="30">+R35-R36</f>
        <v>-813.08930340000029</v>
      </c>
    </row>
    <row r="38" spans="1:34" s="13" customFormat="1" x14ac:dyDescent="0.2">
      <c r="A38" s="12" t="s">
        <v>18</v>
      </c>
      <c r="B38" s="13">
        <f t="shared" ref="B38:J38" si="31">+B37/B39</f>
        <v>-0.22211173648781757</v>
      </c>
      <c r="C38" s="13">
        <f t="shared" si="31"/>
        <v>-0.25859730170205975</v>
      </c>
      <c r="D38" s="13">
        <f t="shared" si="31"/>
        <v>-0.22349820300984194</v>
      </c>
      <c r="E38" s="13">
        <f t="shared" si="31"/>
        <v>-0.18327918911380323</v>
      </c>
      <c r="F38" s="13">
        <f t="shared" si="31"/>
        <v>-0.20784130216204946</v>
      </c>
      <c r="G38" s="13">
        <f t="shared" si="31"/>
        <v>-0.23535091680742923</v>
      </c>
      <c r="H38" s="13">
        <f t="shared" si="31"/>
        <v>-0.2264912661593427</v>
      </c>
      <c r="I38" s="13">
        <f t="shared" si="31"/>
        <v>-0.15148891142688745</v>
      </c>
      <c r="J38" s="13">
        <f t="shared" si="31"/>
        <v>-0.18519631392016575</v>
      </c>
      <c r="K38" s="13">
        <f t="shared" ref="K38" si="32">+K37/K39</f>
        <v>-0.15116103739445122</v>
      </c>
      <c r="L38" s="13">
        <f t="shared" ref="L38" si="33">+L37/L39</f>
        <v>-9.2150322517409719E-2</v>
      </c>
      <c r="M38" s="13">
        <f t="shared" ref="M38" si="34">+M37/M39</f>
        <v>-6.5421944600903476E-2</v>
      </c>
      <c r="O38" s="13">
        <f>+O37/O39</f>
        <v>-0.31299290505369826</v>
      </c>
      <c r="P38" s="13">
        <f>+P37/P39</f>
        <v>-0.8891540405296513</v>
      </c>
      <c r="Q38" s="13">
        <f>+Q37/Q39</f>
        <v>-0.8201437019691119</v>
      </c>
      <c r="R38" s="13">
        <f>+R37/R39</f>
        <v>-0.49447401426496645</v>
      </c>
    </row>
    <row r="39" spans="1:34" x14ac:dyDescent="0.2">
      <c r="A39" s="8" t="s">
        <v>10</v>
      </c>
      <c r="B39" s="4">
        <v>1619.1130000000001</v>
      </c>
      <c r="C39" s="4">
        <v>1632.14</v>
      </c>
      <c r="D39" s="4">
        <v>1608.5229999999999</v>
      </c>
      <c r="E39" s="4">
        <v>1573.883</v>
      </c>
      <c r="F39" s="4">
        <v>1581.37</v>
      </c>
      <c r="G39" s="4">
        <v>1603.172</v>
      </c>
      <c r="H39" s="4">
        <v>1625.9169999999999</v>
      </c>
      <c r="I39" s="4">
        <v>1638.7139999999999</v>
      </c>
      <c r="J39" s="4">
        <v>1647.3869999999999</v>
      </c>
      <c r="K39" s="4">
        <v>1644.7360000000001</v>
      </c>
      <c r="L39" s="4">
        <v>1663.011</v>
      </c>
      <c r="M39" s="4">
        <f t="shared" ref="M39" si="35">AVERAGE(E39:L39)</f>
        <v>1622.2737500000001</v>
      </c>
      <c r="N39" s="4"/>
      <c r="O39" s="4">
        <v>1558.9970000000001</v>
      </c>
      <c r="P39" s="4">
        <v>1608.3040000000001</v>
      </c>
      <c r="Q39" s="4">
        <v>1612.5039999999999</v>
      </c>
      <c r="R39" s="4">
        <f>AVERAGE(J39:M39)</f>
        <v>1644.3519375000001</v>
      </c>
    </row>
    <row r="41" spans="1:34" s="6" customFormat="1" x14ac:dyDescent="0.2">
      <c r="A41" s="5" t="s">
        <v>19</v>
      </c>
      <c r="B41" s="6">
        <f>+B26/B24</f>
        <v>0.60394626277491781</v>
      </c>
      <c r="C41" s="6">
        <f>+C26/C24</f>
        <v>0.5981876103263184</v>
      </c>
      <c r="D41" s="6">
        <f>+D26/D24</f>
        <v>0.58638287389364063</v>
      </c>
      <c r="E41" s="6">
        <f>+E26/E24</f>
        <v>0.62968528199979235</v>
      </c>
      <c r="F41" s="6">
        <f>+F26/F24</f>
        <v>0.55494392114973778</v>
      </c>
      <c r="G41" s="6">
        <f>+G26/G24</f>
        <v>0.5346179387057225</v>
      </c>
      <c r="H41" s="6">
        <f>+H26/H24</f>
        <v>0.53241131428100263</v>
      </c>
      <c r="I41" s="6">
        <f>+I26/I24</f>
        <v>0.54344381456665625</v>
      </c>
      <c r="J41" s="6">
        <f>+J26/J24</f>
        <v>0.51894711380320779</v>
      </c>
      <c r="K41" s="6">
        <f>+K26/K24</f>
        <v>0.52382257626329265</v>
      </c>
      <c r="L41" s="6">
        <f>+L26/L24</f>
        <v>0.53451908603834841</v>
      </c>
      <c r="M41" s="6">
        <f>+M26/M24</f>
        <v>0.54321966386940734</v>
      </c>
      <c r="O41" s="6">
        <f>+O26/O24</f>
        <v>0.57487840802439027</v>
      </c>
      <c r="P41" s="6">
        <f>+P26/P24</f>
        <v>0.60548650757258005</v>
      </c>
      <c r="Q41" s="6">
        <f>+Q26/Q24</f>
        <v>0.54101949256586079</v>
      </c>
      <c r="R41" s="6">
        <f>+R26/R24</f>
        <v>0.53090505850665737</v>
      </c>
    </row>
    <row r="42" spans="1:34" s="6" customFormat="1" x14ac:dyDescent="0.2">
      <c r="A42" s="5" t="s">
        <v>21</v>
      </c>
      <c r="B42" s="6">
        <f t="shared" ref="B42:I42" si="36">+B31/B24</f>
        <v>-0.25550023665532146</v>
      </c>
      <c r="C42" s="6">
        <f t="shared" si="36"/>
        <v>-0.36091164982910373</v>
      </c>
      <c r="D42" s="6">
        <f t="shared" si="36"/>
        <v>-0.38569008113597447</v>
      </c>
      <c r="E42" s="6">
        <f t="shared" si="36"/>
        <v>-0.2212735673041043</v>
      </c>
      <c r="F42" s="6">
        <f t="shared" si="36"/>
        <v>-0.36947303683563165</v>
      </c>
      <c r="G42" s="6">
        <f t="shared" si="36"/>
        <v>-0.37871194162235666</v>
      </c>
      <c r="H42" s="6">
        <f t="shared" si="36"/>
        <v>-0.31977003931678155</v>
      </c>
      <c r="I42" s="6">
        <f t="shared" si="36"/>
        <v>-0.18270430849629832</v>
      </c>
      <c r="J42" s="6">
        <f t="shared" ref="J42:M42" si="37">+J31/J24</f>
        <v>-0.27890821101581648</v>
      </c>
      <c r="K42" s="6">
        <f t="shared" si="37"/>
        <v>-0.20535379311237043</v>
      </c>
      <c r="L42" s="6">
        <f t="shared" si="37"/>
        <v>-0.12619356042005753</v>
      </c>
      <c r="M42" s="6">
        <f t="shared" si="37"/>
        <v>-8.6780336130592647E-2</v>
      </c>
      <c r="O42" s="6">
        <f>+O31/O24</f>
        <v>-0.17052728071181109</v>
      </c>
      <c r="P42" s="6">
        <f>+P31/P24</f>
        <v>-0.30331241972673956</v>
      </c>
      <c r="Q42" s="6">
        <f>+Q31/Q24</f>
        <v>-0.30359185560933694</v>
      </c>
      <c r="R42" s="6">
        <f>+R31/R24</f>
        <v>-0.1683872881763431</v>
      </c>
    </row>
    <row r="43" spans="1:34" s="6" customFormat="1" x14ac:dyDescent="0.2">
      <c r="A43" s="5" t="s">
        <v>22</v>
      </c>
      <c r="B43" s="6">
        <f t="shared" ref="B43:I43" si="38">+B37/B24</f>
        <v>-0.3383973494603974</v>
      </c>
      <c r="C43" s="6">
        <f t="shared" si="38"/>
        <v>-0.37992940915952594</v>
      </c>
      <c r="D43" s="6">
        <f t="shared" si="38"/>
        <v>-0.31857301351557316</v>
      </c>
      <c r="E43" s="6">
        <f t="shared" si="38"/>
        <v>-0.22193754880802624</v>
      </c>
      <c r="F43" s="6">
        <f t="shared" si="38"/>
        <v>-0.33246140027189763</v>
      </c>
      <c r="G43" s="6">
        <f t="shared" si="38"/>
        <v>-0.35339416991595701</v>
      </c>
      <c r="H43" s="6">
        <f t="shared" si="38"/>
        <v>-0.30983609453864414</v>
      </c>
      <c r="I43" s="6">
        <f t="shared" si="38"/>
        <v>-0.18236198538588885</v>
      </c>
      <c r="J43" s="6">
        <f t="shared" ref="J43:M43" si="39">+J37/J24</f>
        <v>-0.25535394589599875</v>
      </c>
      <c r="K43" s="6">
        <f t="shared" si="39"/>
        <v>-0.20102395922274841</v>
      </c>
      <c r="L43" s="6">
        <f t="shared" si="39"/>
        <v>-0.11164935369604848</v>
      </c>
      <c r="M43" s="6">
        <f t="shared" si="39"/>
        <v>-7.2265006184097008E-2</v>
      </c>
      <c r="O43" s="6">
        <f>+O37/O24</f>
        <v>-0.11852060019703449</v>
      </c>
      <c r="P43" s="6">
        <f>+P37/P24</f>
        <v>-0.31077677350933514</v>
      </c>
      <c r="Q43" s="6">
        <f>+Q37/Q24</f>
        <v>-0.28711506334514031</v>
      </c>
      <c r="R43" s="6">
        <f>+R37/R24</f>
        <v>-0.1542053664105206</v>
      </c>
    </row>
    <row r="44" spans="1:34" s="6" customFormat="1" x14ac:dyDescent="0.2">
      <c r="A44" s="5" t="s">
        <v>23</v>
      </c>
      <c r="B44" s="6">
        <f t="shared" ref="B44:I44" si="40">+B36/B35</f>
        <v>-2.4237142352626227E-2</v>
      </c>
      <c r="C44" s="6">
        <f t="shared" si="40"/>
        <v>-1.6862297262135367E-2</v>
      </c>
      <c r="D44" s="6">
        <f t="shared" si="40"/>
        <v>-2.6383182826520794E-2</v>
      </c>
      <c r="E44" s="6">
        <f t="shared" si="40"/>
        <v>-1.479662555320242E-2</v>
      </c>
      <c r="F44" s="6">
        <f t="shared" si="40"/>
        <v>-2.1269059034456177E-2</v>
      </c>
      <c r="G44" s="6">
        <f t="shared" si="40"/>
        <v>-3.311200251906412E-2</v>
      </c>
      <c r="H44" s="6">
        <f t="shared" si="40"/>
        <v>-1.6139312982365133E-2</v>
      </c>
      <c r="I44" s="6">
        <f t="shared" si="40"/>
        <v>-1.3368874810182374E-2</v>
      </c>
      <c r="J44" s="6">
        <v>0.01</v>
      </c>
      <c r="K44" s="6">
        <v>0.01</v>
      </c>
      <c r="L44" s="6">
        <v>0.01</v>
      </c>
      <c r="M44" s="6">
        <v>0.01</v>
      </c>
      <c r="O44" s="6">
        <f>+O36/O35</f>
        <v>-2.8635814583943764E-2</v>
      </c>
      <c r="P44" s="6">
        <f>+P36/P35</f>
        <v>-2.0667002599434426E-2</v>
      </c>
      <c r="Q44" s="6">
        <f>+Q36/Q35</f>
        <v>-2.1679157431535118E-2</v>
      </c>
      <c r="R44" s="6">
        <f>+R36/R35</f>
        <v>-3.4960775579254526E-2</v>
      </c>
    </row>
    <row r="45" spans="1:34" s="6" customFormat="1" x14ac:dyDescent="0.2">
      <c r="A45" s="5"/>
    </row>
    <row r="46" spans="1:34" s="6" customFormat="1" x14ac:dyDescent="0.2">
      <c r="A46" s="5" t="s">
        <v>31</v>
      </c>
      <c r="B46" s="6">
        <f>+B27/B24</f>
        <v>0.42867359161854357</v>
      </c>
      <c r="C46" s="6">
        <f>+C27/C24</f>
        <v>0.45461599464942665</v>
      </c>
      <c r="D46" s="6">
        <f>+D27/D24</f>
        <v>0.50001772301759184</v>
      </c>
      <c r="E46" s="6">
        <f>+E27/E24</f>
        <v>0.45004712499086358</v>
      </c>
      <c r="F46" s="6">
        <f>+F27/F24</f>
        <v>0.46035637987958833</v>
      </c>
      <c r="G46" s="6">
        <f>+G27/G24</f>
        <v>0.44738865697140218</v>
      </c>
      <c r="H46" s="6">
        <f>+H27/H24</f>
        <v>0.41610246426110453</v>
      </c>
      <c r="I46" s="6">
        <f>+I27/I24</f>
        <v>0.35519916079416031</v>
      </c>
      <c r="J46" s="6">
        <f>+J27/J24</f>
        <v>0.37643887165176987</v>
      </c>
      <c r="K46" s="6">
        <f>+K27/K24</f>
        <v>0.3284334652901757</v>
      </c>
      <c r="L46" s="6">
        <f>+L27/L24</f>
        <v>0.30074225506238644</v>
      </c>
      <c r="M46" s="6">
        <f>+M27/M24</f>
        <v>0.3</v>
      </c>
      <c r="O46" s="6">
        <f>+O27/O24</f>
        <v>0.38024016236876523</v>
      </c>
      <c r="P46" s="6">
        <f>+P27/P24</f>
        <v>0.45850565145486116</v>
      </c>
      <c r="Q46" s="6">
        <f>+Q27/Q24</f>
        <v>0.41485329827848416</v>
      </c>
      <c r="R46" s="6">
        <f>+R27/R24</f>
        <v>0.32418302331223992</v>
      </c>
    </row>
    <row r="47" spans="1:34" s="6" customFormat="1" x14ac:dyDescent="0.2">
      <c r="A47" s="5" t="s">
        <v>32</v>
      </c>
      <c r="B47" s="6">
        <f>+B28/B24</f>
        <v>0.22760878381748084</v>
      </c>
      <c r="C47" s="6">
        <f>+C28/C24</f>
        <v>0.28028758431158629</v>
      </c>
      <c r="D47" s="6">
        <f>+D28/D24</f>
        <v>0.2395584841857514</v>
      </c>
      <c r="E47" s="6">
        <f>+E28/E24</f>
        <v>0.22708475189173177</v>
      </c>
      <c r="F47" s="6">
        <f>+F28/F24</f>
        <v>0.27152622677542565</v>
      </c>
      <c r="G47" s="6">
        <f>+G28/G24</f>
        <v>0.26281272566684988</v>
      </c>
      <c r="H47" s="6">
        <f>+H28/H24</f>
        <v>0.25009528408961834</v>
      </c>
      <c r="I47" s="6">
        <f>+I28/I24</f>
        <v>0.20261047082650477</v>
      </c>
      <c r="J47" s="6">
        <v>0.19</v>
      </c>
      <c r="K47" s="6">
        <v>0.19</v>
      </c>
      <c r="L47" s="6">
        <v>0.19</v>
      </c>
      <c r="M47" s="6">
        <v>0.19</v>
      </c>
      <c r="O47" s="6">
        <f>+O28/O24</f>
        <v>0.19255641420746128</v>
      </c>
      <c r="P47" s="6">
        <f>+P28/P24</f>
        <v>0.24312795693550104</v>
      </c>
      <c r="Q47" s="6">
        <f>+Q28/Q24</f>
        <v>0.24360920211501452</v>
      </c>
      <c r="R47" s="6">
        <f>+R28/R24</f>
        <v>0.20479158399268294</v>
      </c>
    </row>
    <row r="48" spans="1:34" s="6" customFormat="1" x14ac:dyDescent="0.2">
      <c r="A48" s="5" t="s">
        <v>33</v>
      </c>
      <c r="B48" s="6">
        <f>+B29/B24</f>
        <v>0.20316412399421485</v>
      </c>
      <c r="C48" s="6">
        <f>+C29/C24</f>
        <v>0.22419568119440925</v>
      </c>
      <c r="D48" s="6">
        <f>+D29/D24</f>
        <v>0.23249674782627189</v>
      </c>
      <c r="E48" s="6">
        <f>+E29/E24</f>
        <v>0.17382697242130127</v>
      </c>
      <c r="F48" s="6">
        <f>+F29/F24</f>
        <v>0.19253435133035543</v>
      </c>
      <c r="G48" s="6">
        <f>+G29/G24</f>
        <v>0.20312849768982708</v>
      </c>
      <c r="H48" s="6">
        <f>+H29/H24</f>
        <v>0.18598360524706134</v>
      </c>
      <c r="I48" s="6">
        <f>+I29/I24</f>
        <v>0.16833849144228952</v>
      </c>
      <c r="J48" s="6">
        <v>0.17</v>
      </c>
      <c r="K48" s="6">
        <v>0.17</v>
      </c>
      <c r="L48" s="6">
        <v>0.17</v>
      </c>
      <c r="M48" s="6">
        <v>0.17</v>
      </c>
      <c r="O48" s="6">
        <f>+O29/O24</f>
        <v>0.17260911215997482</v>
      </c>
      <c r="P48" s="6">
        <f>+P29/P24</f>
        <v>0.20716531890895734</v>
      </c>
      <c r="Q48" s="6">
        <f>+Q29/Q24</f>
        <v>0.18614884778169891</v>
      </c>
      <c r="R48" s="6">
        <f>+R29/R24</f>
        <v>0.17031773937807762</v>
      </c>
    </row>
    <row r="49" spans="1:18" s="6" customFormat="1" x14ac:dyDescent="0.2">
      <c r="A49" s="5"/>
    </row>
    <row r="50" spans="1:18" s="2" customFormat="1" x14ac:dyDescent="0.2">
      <c r="A50" s="5" t="s">
        <v>53</v>
      </c>
      <c r="B50" s="1"/>
      <c r="C50" s="1"/>
      <c r="F50" s="6">
        <f>+F27/B27-1</f>
        <v>-9.8998382221548997E-4</v>
      </c>
      <c r="G50" s="6">
        <f>+G27/C27-1</f>
        <v>-5.4201969360660684E-2</v>
      </c>
      <c r="H50" s="6">
        <f>+H27/D27-1</f>
        <v>-0.12352328190295925</v>
      </c>
      <c r="I50" s="6">
        <f>+I27/E27-1</f>
        <v>-0.17337445421939268</v>
      </c>
      <c r="J50" s="6">
        <f>+J27/F27-1</f>
        <v>-1.1761939918086162E-2</v>
      </c>
      <c r="K50" s="6">
        <f>+K27/G27-1</f>
        <v>-0.14961803614682312</v>
      </c>
      <c r="L50" s="6">
        <f>+L27/H27-1</f>
        <v>-0.16533517740047199</v>
      </c>
      <c r="M50" s="1"/>
      <c r="N50" s="1"/>
      <c r="P50" s="6">
        <f>+P27/O27-1</f>
        <v>0.34771285501387128</v>
      </c>
      <c r="Q50" s="6">
        <f>+Q27/P27-1</f>
        <v>-9.4292349985780732E-2</v>
      </c>
    </row>
    <row r="51" spans="1:18" s="2" customFormat="1" x14ac:dyDescent="0.2">
      <c r="A51" s="5" t="s">
        <v>54</v>
      </c>
      <c r="B51" s="1"/>
      <c r="C51" s="1"/>
      <c r="F51" s="6">
        <f>+F28/B28-1</f>
        <v>0.10975004754305751</v>
      </c>
      <c r="G51" s="6">
        <f>+G28/C28-1</f>
        <v>-9.8842549474265851E-2</v>
      </c>
      <c r="H51" s="6">
        <f>+H28/D28-1</f>
        <v>9.956128669507569E-2</v>
      </c>
      <c r="I51" s="6">
        <f>+I28/E28-1</f>
        <v>-6.5522615619176161E-2</v>
      </c>
      <c r="J51" s="6">
        <f>+J28/F28-1</f>
        <v>2.8316190632299287E-2</v>
      </c>
      <c r="K51" s="6">
        <f>+K28/G28-1</f>
        <v>-5.0880800578765983E-2</v>
      </c>
      <c r="L51" s="6">
        <f>+L28/H28-1</f>
        <v>-8.1224285200049651E-2</v>
      </c>
      <c r="M51" s="1"/>
      <c r="N51" s="1"/>
      <c r="P51" s="6">
        <f>+P28/O28-1</f>
        <v>0.41119677482832229</v>
      </c>
      <c r="Q51" s="6">
        <f>+Q28/P28-1</f>
        <v>2.990848682363989E-3</v>
      </c>
    </row>
    <row r="52" spans="1:18" s="2" customFormat="1" x14ac:dyDescent="0.2">
      <c r="A52" s="5" t="s">
        <v>55</v>
      </c>
      <c r="B52" s="1"/>
      <c r="C52" s="1"/>
      <c r="F52" s="6">
        <f>+F29/B29-1</f>
        <v>-0.11841617726068498</v>
      </c>
      <c r="G52" s="6">
        <f>+G29/C29-1</f>
        <v>-0.12923340065285216</v>
      </c>
      <c r="H52" s="6">
        <f>+H29/D29-1</f>
        <v>-0.15747407257772517</v>
      </c>
      <c r="I52" s="6">
        <f>+I29/E29-1</f>
        <v>1.4287674446396448E-2</v>
      </c>
      <c r="J52" s="6">
        <f>+J29/F29-1</f>
        <v>0.19502892177723141</v>
      </c>
      <c r="K52" s="6">
        <f>+K29/G29-1</f>
        <v>5.7323607255826081E-2</v>
      </c>
      <c r="L52" s="6">
        <f>+L29/H29-1</f>
        <v>-3.2571668981351554E-4</v>
      </c>
      <c r="M52" s="1"/>
      <c r="N52" s="1"/>
      <c r="P52" s="6">
        <f>+P29/O29-1</f>
        <v>0.34141759540695715</v>
      </c>
      <c r="Q52" s="6">
        <f>+Q29/P29-1</f>
        <v>-0.10054077302743725</v>
      </c>
    </row>
    <row r="53" spans="1:18" s="6" customFormat="1" x14ac:dyDescent="0.2">
      <c r="A53" s="5"/>
    </row>
    <row r="54" spans="1:18" s="6" customFormat="1" x14ac:dyDescent="0.2">
      <c r="A54" s="5" t="s">
        <v>71</v>
      </c>
      <c r="B54" s="6">
        <v>0.37</v>
      </c>
      <c r="C54" s="6">
        <v>0.12</v>
      </c>
      <c r="D54" s="6">
        <v>0.03</v>
      </c>
      <c r="E54" s="6">
        <v>-0.06</v>
      </c>
      <c r="F54" s="6">
        <f>+F21/B21-1</f>
        <v>-0.15610060388177682</v>
      </c>
      <c r="G54" s="6">
        <f>+G21/C21-1</f>
        <v>-0.12581696642785056</v>
      </c>
      <c r="H54" s="6">
        <f>+H21/D21-1</f>
        <v>-3.1355270194011298E-2</v>
      </c>
      <c r="I54" s="6">
        <f>+I21/E21-1</f>
        <v>2.1846849405323221E-2</v>
      </c>
      <c r="J54" s="6">
        <f>+J21/F21-1</f>
        <v>0.16133090377186288</v>
      </c>
      <c r="K54" s="6">
        <f>+K21/G21-1</f>
        <v>0.120453562677173</v>
      </c>
      <c r="L54" s="6">
        <f>+L21/H21-1</f>
        <v>9.0907125067098749E-2</v>
      </c>
    </row>
    <row r="55" spans="1:18" s="6" customFormat="1" x14ac:dyDescent="0.2">
      <c r="A55" s="5" t="s">
        <v>72</v>
      </c>
      <c r="B55" s="6">
        <v>0.43</v>
      </c>
      <c r="C55" s="6">
        <v>0.12</v>
      </c>
      <c r="D55" s="6">
        <v>0.05</v>
      </c>
      <c r="E55" s="6">
        <v>0.05</v>
      </c>
      <c r="F55" s="6">
        <f>+F22/B22-1</f>
        <v>-2.6965682283571546E-2</v>
      </c>
      <c r="G55" s="6">
        <f>+G22/C22-1</f>
        <v>7.0618529427326715E-2</v>
      </c>
      <c r="H55" s="6">
        <f>+H22/D22-1</f>
        <v>0.2408733797615803</v>
      </c>
      <c r="I55" s="6">
        <f>+I22/E22-1</f>
        <v>9.0143306856034222E-2</v>
      </c>
      <c r="J55" s="6">
        <f>+J22/F22-1</f>
        <v>0.24140466531440175</v>
      </c>
      <c r="K55" s="6">
        <f>+K22/G22-1</f>
        <v>0.26207381293620857</v>
      </c>
      <c r="L55" s="6">
        <f>+L22/H22-1</f>
        <v>0.24281976511943748</v>
      </c>
    </row>
    <row r="56" spans="1:18" s="6" customFormat="1" x14ac:dyDescent="0.2">
      <c r="A56" s="5" t="s">
        <v>73</v>
      </c>
      <c r="B56" s="5">
        <v>0.38</v>
      </c>
      <c r="C56" s="5">
        <v>0.21</v>
      </c>
      <c r="D56" s="6">
        <v>0.22</v>
      </c>
      <c r="E56" s="6">
        <v>0.28000000000000003</v>
      </c>
      <c r="F56" s="6">
        <f>+F23/B23-1</f>
        <v>0.34157685444096275</v>
      </c>
      <c r="G56" s="6">
        <f>+G23/C23-1</f>
        <v>0.28105278764399122</v>
      </c>
      <c r="H56" s="6">
        <f>+H23/D23-1</f>
        <v>0.3000231544012657</v>
      </c>
      <c r="I56" s="6">
        <f>+I23/E23-1</f>
        <v>0.11260348578455037</v>
      </c>
      <c r="J56" s="6">
        <f>+J23/F23-1</f>
        <v>0.33959319619590267</v>
      </c>
      <c r="K56" s="6">
        <f>+K23/G23-1</f>
        <v>0.20450760072661023</v>
      </c>
      <c r="L56" s="6">
        <f>+L23/H23-1</f>
        <v>0.31626963512677797</v>
      </c>
      <c r="M56" s="5"/>
      <c r="N56" s="5"/>
    </row>
    <row r="57" spans="1:18" s="6" customFormat="1" x14ac:dyDescent="0.2">
      <c r="A57" s="5"/>
      <c r="B57" s="5"/>
      <c r="C57" s="5"/>
      <c r="L57" s="5"/>
      <c r="M57" s="5"/>
      <c r="N57" s="5"/>
    </row>
    <row r="58" spans="1:18" s="15" customFormat="1" x14ac:dyDescent="0.2">
      <c r="A58" s="18" t="s">
        <v>24</v>
      </c>
      <c r="B58" s="18">
        <v>0.38</v>
      </c>
      <c r="C58" s="18">
        <v>0.13</v>
      </c>
      <c r="D58" s="15">
        <v>0.06</v>
      </c>
      <c r="E58" s="15">
        <v>1E-3</v>
      </c>
      <c r="F58" s="15">
        <f t="shared" ref="F58:G58" si="41">+F24/B24-1</f>
        <v>-6.9744158189262273E-2</v>
      </c>
      <c r="G58" s="15">
        <f t="shared" si="41"/>
        <v>-3.8923080108271724E-2</v>
      </c>
      <c r="H58" s="15">
        <f>+H24/D24-1</f>
        <v>5.3235514091571012E-2</v>
      </c>
      <c r="I58" s="15">
        <f t="shared" ref="I58:J58" si="42">+I24/E24-1</f>
        <v>4.7357345920514549E-2</v>
      </c>
      <c r="J58" s="15">
        <f t="shared" si="42"/>
        <v>0.20854069560432453</v>
      </c>
      <c r="K58" s="34">
        <f>+K24/G24-1</f>
        <v>0.15838148339981761</v>
      </c>
      <c r="L58" s="34">
        <f>+L24/H24-1</f>
        <v>0.15482970440477528</v>
      </c>
      <c r="P58" s="15">
        <f>+P24/O24-1</f>
        <v>0.11766246106433553</v>
      </c>
      <c r="Q58" s="15">
        <f>+Q24/P24-1</f>
        <v>1.0094600203847115E-3</v>
      </c>
      <c r="R58" s="15">
        <f>+R24/Q24-1</f>
        <v>0.14473242200856906</v>
      </c>
    </row>
    <row r="59" spans="1:18" s="15" customFormat="1" x14ac:dyDescent="0.2">
      <c r="A59" s="18"/>
      <c r="B59" s="18"/>
      <c r="C59" s="18"/>
      <c r="K59" s="34"/>
      <c r="L59" s="34"/>
    </row>
    <row r="60" spans="1:18" x14ac:dyDescent="0.2">
      <c r="A60" s="24" t="s">
        <v>79</v>
      </c>
      <c r="I60" s="4">
        <f>+I61-I72</f>
        <v>-205.32000000000016</v>
      </c>
      <c r="J60" s="4">
        <f>+J61-J72</f>
        <v>-390.45099999999957</v>
      </c>
      <c r="K60" s="4">
        <f>+K61-K72</f>
        <v>-557.45900000000029</v>
      </c>
      <c r="L60" s="4">
        <f>+L61-L72</f>
        <v>-449.19900000000007</v>
      </c>
    </row>
    <row r="61" spans="1:18" x14ac:dyDescent="0.2">
      <c r="A61" s="24" t="s">
        <v>6</v>
      </c>
      <c r="I61" s="4">
        <f>1780.4+1763.68</f>
        <v>3544.08</v>
      </c>
      <c r="J61" s="4">
        <f>1060.393+1850.622</f>
        <v>2911.0150000000003</v>
      </c>
      <c r="K61" s="4">
        <f>1060.551+2020.723</f>
        <v>3081.2739999999999</v>
      </c>
      <c r="L61" s="4">
        <f>964.967+2227.162</f>
        <v>3192.1289999999999</v>
      </c>
    </row>
    <row r="62" spans="1:18" x14ac:dyDescent="0.2">
      <c r="A62" s="24" t="s">
        <v>40</v>
      </c>
      <c r="I62" s="4">
        <v>1278.1759999999999</v>
      </c>
      <c r="J62" s="4">
        <v>1108.357</v>
      </c>
      <c r="K62" s="4">
        <v>1141.8489999999999</v>
      </c>
      <c r="L62" s="4">
        <v>1195.701</v>
      </c>
    </row>
    <row r="63" spans="1:18" x14ac:dyDescent="0.2">
      <c r="A63" s="24" t="s">
        <v>80</v>
      </c>
      <c r="I63" s="4">
        <v>153.58699999999999</v>
      </c>
      <c r="J63" s="4">
        <v>167.38499999999999</v>
      </c>
      <c r="K63" s="4">
        <v>198.07400000000001</v>
      </c>
      <c r="L63" s="4">
        <v>200.90199999999999</v>
      </c>
    </row>
    <row r="64" spans="1:18" x14ac:dyDescent="0.2">
      <c r="A64" s="24" t="s">
        <v>81</v>
      </c>
      <c r="I64" s="4">
        <v>410.32600000000002</v>
      </c>
      <c r="J64" s="4">
        <v>426.363</v>
      </c>
      <c r="K64" s="4">
        <v>444.48500000000001</v>
      </c>
      <c r="L64" s="4">
        <v>466.39699999999999</v>
      </c>
    </row>
    <row r="65" spans="1:14" x14ac:dyDescent="0.2">
      <c r="A65" s="24" t="s">
        <v>82</v>
      </c>
      <c r="I65" s="4">
        <v>516.86199999999997</v>
      </c>
      <c r="J65" s="4">
        <v>511.11700000000002</v>
      </c>
      <c r="K65" s="4">
        <v>521.101</v>
      </c>
      <c r="L65" s="4">
        <v>516.95899999999995</v>
      </c>
    </row>
    <row r="66" spans="1:14" x14ac:dyDescent="0.2">
      <c r="A66" s="24" t="s">
        <v>83</v>
      </c>
      <c r="I66" s="4">
        <f>146.303+1691.827</f>
        <v>1838.13</v>
      </c>
      <c r="J66" s="4">
        <f>127.658+1691.524</f>
        <v>1819.1819999999998</v>
      </c>
      <c r="K66" s="4">
        <f>112.808+1691.317</f>
        <v>1804.125</v>
      </c>
      <c r="L66" s="4">
        <f>98.92+1693.946</f>
        <v>1792.866</v>
      </c>
    </row>
    <row r="67" spans="1:14" x14ac:dyDescent="0.2">
      <c r="A67" s="24" t="s">
        <v>39</v>
      </c>
      <c r="I67" s="4">
        <v>226.59700000000001</v>
      </c>
      <c r="J67" s="4">
        <v>223.982</v>
      </c>
      <c r="K67" s="4">
        <v>229.131</v>
      </c>
      <c r="L67" s="4">
        <v>226.46299999999999</v>
      </c>
    </row>
    <row r="68" spans="1:14" s="14" customFormat="1" x14ac:dyDescent="0.2">
      <c r="A68" s="9" t="s">
        <v>84</v>
      </c>
      <c r="B68" s="23"/>
      <c r="C68" s="23"/>
      <c r="I68" s="14">
        <f>SUM(I61:I67)</f>
        <v>7967.7579999999989</v>
      </c>
      <c r="J68" s="14">
        <f>SUM(J61:J67)</f>
        <v>7167.4010000000007</v>
      </c>
      <c r="K68" s="14">
        <f>SUM(K61:K67)</f>
        <v>7420.0389999999989</v>
      </c>
      <c r="L68" s="14">
        <f>SUM(L61:L67)</f>
        <v>7591.4169999999995</v>
      </c>
      <c r="M68" s="23"/>
      <c r="N68" s="23"/>
    </row>
    <row r="69" spans="1:14" x14ac:dyDescent="0.2">
      <c r="A69" s="24" t="s">
        <v>42</v>
      </c>
      <c r="I69" s="4">
        <v>278.96100000000001</v>
      </c>
      <c r="J69" s="4">
        <v>246.21700000000001</v>
      </c>
      <c r="K69" s="4">
        <v>179.58600000000001</v>
      </c>
      <c r="L69" s="4">
        <v>157.471</v>
      </c>
    </row>
    <row r="70" spans="1:14" x14ac:dyDescent="0.2">
      <c r="A70" s="24" t="s">
        <v>82</v>
      </c>
      <c r="I70" s="4">
        <f>49.321+546.279</f>
        <v>595.6</v>
      </c>
      <c r="J70" s="4">
        <f>36.649+553.741</f>
        <v>590.39</v>
      </c>
      <c r="K70" s="4">
        <f>21.279+579.896</f>
        <v>601.17499999999995</v>
      </c>
      <c r="L70" s="4">
        <f>21.311+577.912</f>
        <v>599.22300000000007</v>
      </c>
    </row>
    <row r="71" spans="1:14" x14ac:dyDescent="0.2">
      <c r="A71" s="24" t="s">
        <v>85</v>
      </c>
      <c r="I71" s="4">
        <v>805.83600000000001</v>
      </c>
      <c r="J71" s="4">
        <v>829.57899999999995</v>
      </c>
      <c r="K71" s="4">
        <v>875.11900000000003</v>
      </c>
      <c r="L71" s="4">
        <v>921.39300000000003</v>
      </c>
    </row>
    <row r="72" spans="1:14" x14ac:dyDescent="0.2">
      <c r="A72" s="24" t="s">
        <v>94</v>
      </c>
      <c r="I72" s="4">
        <v>3749.4</v>
      </c>
      <c r="J72" s="4">
        <v>3301.4659999999999</v>
      </c>
      <c r="K72" s="4">
        <f>36.17+3602.563</f>
        <v>3638.7330000000002</v>
      </c>
      <c r="L72" s="4">
        <f>36.191+3605.137</f>
        <v>3641.328</v>
      </c>
    </row>
    <row r="73" spans="1:14" x14ac:dyDescent="0.2">
      <c r="A73" s="24" t="s">
        <v>39</v>
      </c>
      <c r="I73" s="4">
        <v>123.849</v>
      </c>
      <c r="J73" s="4">
        <v>68.400999999999996</v>
      </c>
      <c r="K73" s="4">
        <v>58.704000000000001</v>
      </c>
      <c r="L73" s="4">
        <v>61.927</v>
      </c>
    </row>
    <row r="74" spans="1:14" s="14" customFormat="1" x14ac:dyDescent="0.2">
      <c r="A74" s="9" t="s">
        <v>86</v>
      </c>
      <c r="B74" s="23"/>
      <c r="C74" s="23"/>
      <c r="I74" s="14">
        <f>SUM(I69:I73)</f>
        <v>5553.6460000000006</v>
      </c>
      <c r="J74" s="14">
        <f>SUM(J69:J73)</f>
        <v>5036.0529999999999</v>
      </c>
      <c r="K74" s="14">
        <f>SUM(K69:K73)</f>
        <v>5353.317</v>
      </c>
      <c r="L74" s="14">
        <f>SUM(L69:L73)</f>
        <v>5381.3419999999996</v>
      </c>
      <c r="M74" s="23"/>
      <c r="N74" s="23"/>
    </row>
    <row r="75" spans="1:14" x14ac:dyDescent="0.2">
      <c r="A75" s="24" t="s">
        <v>87</v>
      </c>
      <c r="I75" s="4">
        <v>2414.1120000000001</v>
      </c>
      <c r="J75" s="4">
        <f>+J68-J74</f>
        <v>2131.3480000000009</v>
      </c>
      <c r="K75" s="4">
        <v>2066.7220000000002</v>
      </c>
      <c r="L75" s="4">
        <v>2210.0749999999998</v>
      </c>
    </row>
    <row r="76" spans="1:14" x14ac:dyDescent="0.2">
      <c r="A76" s="24" t="s">
        <v>88</v>
      </c>
      <c r="I76" s="4">
        <f>+I75+I74</f>
        <v>7967.7580000000007</v>
      </c>
      <c r="J76" s="4">
        <f>+J75+J74</f>
        <v>7167.4010000000007</v>
      </c>
      <c r="K76" s="4">
        <f>+K75+K74</f>
        <v>7420.0390000000007</v>
      </c>
      <c r="L76" s="4">
        <f>+L75+L74</f>
        <v>7591.4169999999995</v>
      </c>
    </row>
    <row r="78" spans="1:14" x14ac:dyDescent="0.2">
      <c r="A78" s="1" t="s">
        <v>34</v>
      </c>
      <c r="I78" s="39">
        <f>+I37</f>
        <v>-248.24700000000044</v>
      </c>
      <c r="J78" s="4">
        <f>+J37</f>
        <v>-305.09000000000009</v>
      </c>
      <c r="K78" s="4">
        <f>+K37</f>
        <v>-248.62000000000012</v>
      </c>
      <c r="L78" s="4">
        <f>+L37</f>
        <v>-153.24700000000004</v>
      </c>
    </row>
    <row r="79" spans="1:14" x14ac:dyDescent="0.2">
      <c r="A79" s="1" t="s">
        <v>35</v>
      </c>
      <c r="I79" s="4">
        <v>-248.24700000000001</v>
      </c>
      <c r="J79" s="4">
        <v>-305.08999999999997</v>
      </c>
      <c r="K79" s="4">
        <v>-248.62</v>
      </c>
      <c r="L79" s="4">
        <v>-153.24700000000001</v>
      </c>
    </row>
    <row r="80" spans="1:14" x14ac:dyDescent="0.2">
      <c r="A80" s="1" t="s">
        <v>36</v>
      </c>
      <c r="I80" s="4">
        <v>52.323999999999998</v>
      </c>
      <c r="J80" s="4">
        <v>41.713000000000001</v>
      </c>
      <c r="K80" s="4">
        <v>37.93</v>
      </c>
      <c r="L80" s="4">
        <v>38.85</v>
      </c>
    </row>
    <row r="81" spans="1:14" x14ac:dyDescent="0.2">
      <c r="A81" s="1" t="s">
        <v>37</v>
      </c>
      <c r="I81" s="4">
        <v>333.197</v>
      </c>
      <c r="J81" s="4">
        <v>263.75200000000001</v>
      </c>
      <c r="K81" s="4">
        <v>259.31099999999998</v>
      </c>
      <c r="L81" s="4">
        <v>260.22899999999998</v>
      </c>
    </row>
    <row r="82" spans="1:14" x14ac:dyDescent="0.2">
      <c r="A82" s="24" t="s">
        <v>76</v>
      </c>
      <c r="I82" s="4">
        <v>1.8440000000000001</v>
      </c>
      <c r="J82" s="4">
        <v>1.742</v>
      </c>
      <c r="K82" s="4">
        <v>2.2080000000000002</v>
      </c>
      <c r="L82" s="4">
        <v>2.7170000000000001</v>
      </c>
    </row>
    <row r="83" spans="1:14" x14ac:dyDescent="0.2">
      <c r="A83" s="24" t="s">
        <v>77</v>
      </c>
      <c r="I83" s="4">
        <v>27.138999999999999</v>
      </c>
      <c r="J83" s="4">
        <v>8.968</v>
      </c>
      <c r="K83" s="4">
        <v>2.6619999999999999</v>
      </c>
      <c r="L83" s="4">
        <v>0.53600000000000003</v>
      </c>
    </row>
    <row r="84" spans="1:14" x14ac:dyDescent="0.2">
      <c r="A84" s="1" t="s">
        <v>39</v>
      </c>
      <c r="I84" s="4">
        <v>4.1399999999999997</v>
      </c>
      <c r="J84" s="4">
        <v>-16.611999999999998</v>
      </c>
      <c r="K84" s="4">
        <v>10.583</v>
      </c>
      <c r="L84" s="4">
        <v>2.2000000000000002</v>
      </c>
    </row>
    <row r="85" spans="1:14" x14ac:dyDescent="0.2">
      <c r="A85" s="1" t="s">
        <v>40</v>
      </c>
      <c r="I85" s="4">
        <v>-153.899</v>
      </c>
      <c r="J85" s="4">
        <v>162.20699999999999</v>
      </c>
      <c r="K85" s="4">
        <v>-36.915999999999997</v>
      </c>
      <c r="L85" s="4">
        <v>-51.941000000000003</v>
      </c>
    </row>
    <row r="86" spans="1:14" x14ac:dyDescent="0.2">
      <c r="A86" s="1" t="s">
        <v>41</v>
      </c>
      <c r="I86" s="4">
        <v>5.2190000000000003</v>
      </c>
      <c r="J86" s="4">
        <v>-13.629</v>
      </c>
      <c r="K86" s="4">
        <v>-34.526000000000003</v>
      </c>
      <c r="L86" s="4">
        <v>11.914</v>
      </c>
    </row>
    <row r="87" spans="1:14" x14ac:dyDescent="0.2">
      <c r="A87" s="1" t="s">
        <v>46</v>
      </c>
      <c r="I87" s="4">
        <v>17.295000000000002</v>
      </c>
      <c r="J87" s="4">
        <v>13.574999999999999</v>
      </c>
      <c r="K87" s="4">
        <v>14.929</v>
      </c>
      <c r="L87" s="4">
        <v>12.731</v>
      </c>
    </row>
    <row r="88" spans="1:14" x14ac:dyDescent="0.2">
      <c r="A88" s="1" t="s">
        <v>43</v>
      </c>
      <c r="I88" s="4">
        <v>5.43</v>
      </c>
      <c r="J88" s="4">
        <v>-5.1420000000000003</v>
      </c>
      <c r="K88" s="4">
        <v>-0.95499999999999996</v>
      </c>
      <c r="L88" s="4">
        <v>3.09</v>
      </c>
    </row>
    <row r="89" spans="1:14" x14ac:dyDescent="0.2">
      <c r="A89" s="1" t="s">
        <v>42</v>
      </c>
      <c r="I89" s="4">
        <v>140.48500000000001</v>
      </c>
      <c r="J89" s="4">
        <v>-34.088999999999999</v>
      </c>
      <c r="K89" s="4">
        <v>-61.555999999999997</v>
      </c>
      <c r="L89" s="4">
        <v>-16.641999999999999</v>
      </c>
    </row>
    <row r="90" spans="1:14" x14ac:dyDescent="0.2">
      <c r="A90" s="1" t="s">
        <v>44</v>
      </c>
      <c r="I90" s="4">
        <v>-6.5670000000000002</v>
      </c>
      <c r="J90" s="4">
        <v>-18.381</v>
      </c>
      <c r="K90" s="4">
        <v>45.820999999999998</v>
      </c>
      <c r="L90" s="4">
        <v>19.331</v>
      </c>
    </row>
    <row r="91" spans="1:14" x14ac:dyDescent="0.2">
      <c r="A91" s="1" t="s">
        <v>45</v>
      </c>
      <c r="I91" s="4">
        <v>-15.484</v>
      </c>
      <c r="J91" s="4">
        <v>-13.93</v>
      </c>
      <c r="K91" s="4">
        <v>-13.94</v>
      </c>
      <c r="L91" s="4">
        <v>-16.384</v>
      </c>
    </row>
    <row r="92" spans="1:14" x14ac:dyDescent="0.2">
      <c r="A92" s="1" t="s">
        <v>39</v>
      </c>
      <c r="I92" s="4">
        <v>1.698</v>
      </c>
      <c r="J92" s="4">
        <v>3.2679999999999998</v>
      </c>
      <c r="K92" s="4">
        <v>1.6919999999999999</v>
      </c>
      <c r="L92" s="4">
        <v>2.488</v>
      </c>
    </row>
    <row r="93" spans="1:14" x14ac:dyDescent="0.2">
      <c r="A93" s="24" t="s">
        <v>78</v>
      </c>
      <c r="I93" s="4">
        <f>+SUM(I85:I92)</f>
        <v>-5.8229999999999702</v>
      </c>
      <c r="J93" s="4">
        <f>+SUM(J85:J92)</f>
        <v>93.878999999999991</v>
      </c>
      <c r="K93" s="4">
        <f>+SUM(K85:K92)</f>
        <v>-85.451000000000008</v>
      </c>
      <c r="L93" s="4">
        <f>+SUM(L85:L92)</f>
        <v>-35.412999999999997</v>
      </c>
    </row>
    <row r="94" spans="1:14" s="14" customFormat="1" x14ac:dyDescent="0.2">
      <c r="A94" s="9" t="s">
        <v>38</v>
      </c>
      <c r="B94" s="23"/>
      <c r="C94" s="23"/>
      <c r="I94" s="14">
        <f>+SUM(I79:I84)+I93</f>
        <v>164.57400000000001</v>
      </c>
      <c r="J94" s="14">
        <f>+SUM(J79:J84)+J93</f>
        <v>88.352000000000046</v>
      </c>
      <c r="K94" s="14">
        <f>+SUM(K79:K84)+K93</f>
        <v>-21.377000000000024</v>
      </c>
      <c r="L94" s="14">
        <f>+SUM(L79:L84)+L93</f>
        <v>115.87199999999997</v>
      </c>
      <c r="M94" s="23"/>
      <c r="N94" s="23"/>
    </row>
    <row r="95" spans="1:14" x14ac:dyDescent="0.2">
      <c r="L95" s="4"/>
    </row>
    <row r="96" spans="1:14" s="14" customFormat="1" x14ac:dyDescent="0.2">
      <c r="A96" s="9" t="s">
        <v>89</v>
      </c>
      <c r="B96" s="23"/>
      <c r="C96" s="23"/>
      <c r="J96" s="14">
        <v>-50.448</v>
      </c>
      <c r="K96" s="14">
        <v>-52.061999999999998</v>
      </c>
      <c r="L96" s="14">
        <v>-44.040999999999997</v>
      </c>
      <c r="M96" s="23"/>
      <c r="N96" s="23"/>
    </row>
    <row r="97" spans="1:12" x14ac:dyDescent="0.2">
      <c r="A97" s="24" t="s">
        <v>90</v>
      </c>
      <c r="J97" s="4">
        <v>0</v>
      </c>
      <c r="K97" s="4">
        <f>-2+1.006</f>
        <v>-0.99399999999999999</v>
      </c>
      <c r="L97" s="4">
        <v>0.55700000000000005</v>
      </c>
    </row>
    <row r="98" spans="1:12" x14ac:dyDescent="0.2">
      <c r="A98" s="24" t="s">
        <v>77</v>
      </c>
      <c r="J98" s="4">
        <f>-465.672+384.928</f>
        <v>-80.744000000000028</v>
      </c>
      <c r="K98" s="4">
        <f>-774.852+166.557+447.153-0.1</f>
        <v>-161.24199999999993</v>
      </c>
      <c r="L98" s="4">
        <f>-705.066+187.754+337.985</f>
        <v>-179.327</v>
      </c>
    </row>
    <row r="99" spans="1:12" x14ac:dyDescent="0.2">
      <c r="A99" s="24" t="s">
        <v>91</v>
      </c>
      <c r="J99" s="4">
        <f>SUM(J96:J98)</f>
        <v>-131.19200000000004</v>
      </c>
      <c r="K99" s="4">
        <f>SUM(K96:K98)</f>
        <v>-214.29799999999994</v>
      </c>
      <c r="L99" s="4">
        <f>SUM(L96:L98)</f>
        <v>-222.81099999999998</v>
      </c>
    </row>
    <row r="100" spans="1:12" x14ac:dyDescent="0.2">
      <c r="L100" s="4"/>
    </row>
    <row r="101" spans="1:12" x14ac:dyDescent="0.2">
      <c r="A101" s="33" t="s">
        <v>7</v>
      </c>
      <c r="J101" s="4">
        <v>0</v>
      </c>
      <c r="K101" s="38">
        <v>740.35</v>
      </c>
      <c r="L101" s="38">
        <v>0</v>
      </c>
    </row>
    <row r="102" spans="1:12" x14ac:dyDescent="0.2">
      <c r="A102" s="33" t="s">
        <v>103</v>
      </c>
      <c r="J102" s="4">
        <v>69</v>
      </c>
      <c r="K102" s="38">
        <f>-68.85+62.683</f>
        <v>-6.1669999999999945</v>
      </c>
      <c r="L102" s="38">
        <v>0</v>
      </c>
    </row>
    <row r="103" spans="1:12" x14ac:dyDescent="0.2">
      <c r="A103" s="33" t="s">
        <v>104</v>
      </c>
      <c r="J103" s="4">
        <v>0</v>
      </c>
      <c r="K103" s="38">
        <v>2.4249999999999998</v>
      </c>
      <c r="L103" s="38">
        <v>10.304</v>
      </c>
    </row>
    <row r="104" spans="1:12" x14ac:dyDescent="0.2">
      <c r="A104" s="24" t="s">
        <v>93</v>
      </c>
      <c r="J104" s="4">
        <v>-235.114</v>
      </c>
      <c r="K104" s="38">
        <v>-75.954999999999998</v>
      </c>
      <c r="L104" s="38">
        <v>0</v>
      </c>
    </row>
    <row r="105" spans="1:12" x14ac:dyDescent="0.2">
      <c r="A105" s="33" t="s">
        <v>106</v>
      </c>
      <c r="J105" s="4">
        <v>0</v>
      </c>
      <c r="K105" s="38">
        <v>-3.6949999999999998</v>
      </c>
      <c r="L105" s="38">
        <v>0</v>
      </c>
    </row>
    <row r="106" spans="1:12" x14ac:dyDescent="0.2">
      <c r="A106" s="33" t="s">
        <v>105</v>
      </c>
      <c r="J106" s="4">
        <v>-440.70600000000002</v>
      </c>
      <c r="K106" s="38">
        <v>-418.33600000000001</v>
      </c>
      <c r="L106" s="38">
        <v>0</v>
      </c>
    </row>
    <row r="107" spans="1:12" x14ac:dyDescent="0.2">
      <c r="A107" s="33" t="s">
        <v>39</v>
      </c>
      <c r="J107" s="4">
        <v>0</v>
      </c>
      <c r="K107" s="38">
        <v>-1.7989999999999999</v>
      </c>
      <c r="L107" s="38">
        <v>0</v>
      </c>
    </row>
    <row r="108" spans="1:12" x14ac:dyDescent="0.2">
      <c r="A108" s="24" t="s">
        <v>92</v>
      </c>
      <c r="J108" s="38">
        <f>SUM(J101:J107)</f>
        <v>-606.82000000000005</v>
      </c>
      <c r="K108" s="38">
        <f>SUM(K101:K107)</f>
        <v>236.82299999999984</v>
      </c>
      <c r="L108" s="38">
        <f>SUM(L101:L107)</f>
        <v>10.304</v>
      </c>
    </row>
    <row r="109" spans="1:12" x14ac:dyDescent="0.2">
      <c r="K109" s="38"/>
      <c r="L109" s="38"/>
    </row>
    <row r="110" spans="1:12" x14ac:dyDescent="0.2">
      <c r="A110" s="24" t="s">
        <v>95</v>
      </c>
      <c r="J110" s="4">
        <f>+J94+J99+J108</f>
        <v>-649.66000000000008</v>
      </c>
      <c r="K110" s="38">
        <f>+K94+K99+K108</f>
        <v>1.1479999999998824</v>
      </c>
      <c r="L110" s="38">
        <f>+L94+L99+L108</f>
        <v>-96.635000000000005</v>
      </c>
    </row>
    <row r="111" spans="1:12" x14ac:dyDescent="0.2">
      <c r="A111" s="24" t="s">
        <v>98</v>
      </c>
      <c r="J111" s="4">
        <v>1063.8800000000001</v>
      </c>
      <c r="K111" s="38">
        <f>+J111+K110</f>
        <v>1065.028</v>
      </c>
      <c r="L111" s="38">
        <f>+K111+L110</f>
        <v>968.39300000000003</v>
      </c>
    </row>
    <row r="112" spans="1:12" x14ac:dyDescent="0.2">
      <c r="L112" s="4"/>
    </row>
    <row r="113" spans="1:14" s="14" customFormat="1" x14ac:dyDescent="0.2">
      <c r="A113" s="9" t="s">
        <v>96</v>
      </c>
      <c r="B113" s="23"/>
      <c r="C113" s="23"/>
      <c r="J113" s="14">
        <f>+J94+J96</f>
        <v>37.904000000000046</v>
      </c>
      <c r="K113" s="14">
        <f>+K94+K96</f>
        <v>-73.439000000000021</v>
      </c>
      <c r="L113" s="14">
        <f>+L94+L96</f>
        <v>71.830999999999975</v>
      </c>
      <c r="M113" s="23"/>
      <c r="N113" s="23"/>
    </row>
    <row r="114" spans="1:14" x14ac:dyDescent="0.2">
      <c r="A114" s="24" t="s">
        <v>97</v>
      </c>
      <c r="L114" s="4"/>
    </row>
    <row r="115" spans="1:14" x14ac:dyDescent="0.2">
      <c r="L115" s="4"/>
    </row>
    <row r="116" spans="1:14" x14ac:dyDescent="0.2">
      <c r="A116" s="24" t="s">
        <v>99</v>
      </c>
      <c r="J116" s="4">
        <f>+J94+J96-J81</f>
        <v>-225.84799999999996</v>
      </c>
      <c r="K116" s="4">
        <f>+K94+K96-K81</f>
        <v>-332.75</v>
      </c>
      <c r="L116" s="4">
        <f>+L94+L96-L81</f>
        <v>-188.39800000000002</v>
      </c>
    </row>
    <row r="117" spans="1:14" x14ac:dyDescent="0.2">
      <c r="L117" s="4"/>
    </row>
    <row r="118" spans="1:14" x14ac:dyDescent="0.2">
      <c r="A118" s="3" t="s">
        <v>58</v>
      </c>
      <c r="B118" s="3">
        <v>6131</v>
      </c>
      <c r="C118" s="3">
        <v>6446</v>
      </c>
      <c r="D118" s="4">
        <v>5706</v>
      </c>
      <c r="E118" s="4">
        <v>5288</v>
      </c>
      <c r="F118" s="4">
        <v>5201</v>
      </c>
      <c r="G118" s="4">
        <v>5286</v>
      </c>
      <c r="H118" s="4">
        <v>5367</v>
      </c>
      <c r="I118" s="4">
        <v>5289</v>
      </c>
      <c r="J118" s="4">
        <f>+I118*0.9</f>
        <v>4760.1000000000004</v>
      </c>
      <c r="K118" s="4">
        <v>4719</v>
      </c>
      <c r="L118" s="4">
        <v>4800</v>
      </c>
      <c r="M118" s="4"/>
    </row>
    <row r="119" spans="1:14" s="36" customFormat="1" x14ac:dyDescent="0.2">
      <c r="A119" s="35"/>
      <c r="B119" s="35"/>
      <c r="C119" s="36">
        <f t="shared" ref="C119:J119" si="43">+C118/B118-1</f>
        <v>5.1378241722394469E-2</v>
      </c>
      <c r="D119" s="36">
        <f t="shared" si="43"/>
        <v>-0.11479987589202612</v>
      </c>
      <c r="E119" s="36">
        <f t="shared" si="43"/>
        <v>-7.32562215212057E-2</v>
      </c>
      <c r="F119" s="36">
        <f t="shared" si="43"/>
        <v>-1.6452344931921381E-2</v>
      </c>
      <c r="G119" s="36">
        <f t="shared" si="43"/>
        <v>1.6343010959430915E-2</v>
      </c>
      <c r="H119" s="36">
        <f t="shared" si="43"/>
        <v>1.5323496027241701E-2</v>
      </c>
      <c r="I119" s="36">
        <f t="shared" si="43"/>
        <v>-1.4533258803800964E-2</v>
      </c>
      <c r="J119" s="36">
        <f t="shared" si="43"/>
        <v>-9.9999999999999978E-2</v>
      </c>
      <c r="K119" s="36">
        <f>+K118/J118-1</f>
        <v>-8.6342723892356421E-3</v>
      </c>
      <c r="L119" s="36">
        <f>+L118/K118-1</f>
        <v>1.7164653528289886E-2</v>
      </c>
      <c r="N119" s="35"/>
    </row>
  </sheetData>
  <pageMargins left="0.7" right="0.7" top="0.75" bottom="0.75" header="0.3" footer="0.3"/>
  <pageSetup paperSize="9" orientation="portrait" r:id="rId1"/>
  <ignoredErrors>
    <ignoredError sqref="I24:I25 I27:I29 I32:I34" formulaRange="1"/>
    <ignoredError sqref="I26" formula="1" formulaRange="1"/>
    <ignoredError sqref="R26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2024-02-29T08:50:53Z</dcterms:created>
  <dcterms:modified xsi:type="dcterms:W3CDTF">2024-12-14T11:07:46Z</dcterms:modified>
</cp:coreProperties>
</file>