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Cybersecurities\"/>
    </mc:Choice>
  </mc:AlternateContent>
  <xr:revisionPtr revIDLastSave="0" documentId="13_ncr:1_{CC8C500D-6C85-4768-88EE-185C6CF0594B}" xr6:coauthVersionLast="47" xr6:coauthVersionMax="47" xr10:uidLastSave="{00000000-0000-0000-0000-000000000000}"/>
  <bookViews>
    <workbookView xWindow="-120" yWindow="-120" windowWidth="29040" windowHeight="15840" activeTab="1" xr2:uid="{76DC7B73-B3DF-469B-81CA-091B0EE4C2E7}"/>
  </bookViews>
  <sheets>
    <sheet name="Main" sheetId="2" r:id="rId1"/>
    <sheet name="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I81" i="1"/>
  <c r="J81" i="1"/>
  <c r="J64" i="1"/>
  <c r="J63" i="1"/>
  <c r="J60" i="1"/>
  <c r="J61" i="1"/>
  <c r="S9" i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B8" i="1"/>
  <c r="T5" i="1"/>
  <c r="U5" i="1" s="1"/>
  <c r="V5" i="1" s="1"/>
  <c r="W5" i="1" s="1"/>
  <c r="X5" i="1" s="1"/>
  <c r="Y5" i="1" s="1"/>
  <c r="Z5" i="1" s="1"/>
  <c r="AA5" i="1" s="1"/>
  <c r="AB5" i="1" s="1"/>
  <c r="S5" i="1"/>
  <c r="S7" i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X27" i="1"/>
  <c r="W27" i="1"/>
  <c r="V27" i="1"/>
  <c r="J43" i="1"/>
  <c r="J42" i="1"/>
  <c r="J41" i="1"/>
  <c r="J36" i="1"/>
  <c r="J32" i="1"/>
  <c r="J30" i="1"/>
  <c r="J29" i="1" s="1"/>
  <c r="R21" i="1"/>
  <c r="Q21" i="1"/>
  <c r="P21" i="1"/>
  <c r="O21" i="1"/>
  <c r="I21" i="1"/>
  <c r="H21" i="1"/>
  <c r="G21" i="1"/>
  <c r="F21" i="1"/>
  <c r="E21" i="1"/>
  <c r="D21" i="1"/>
  <c r="C21" i="1"/>
  <c r="B21" i="1"/>
  <c r="J21" i="1"/>
  <c r="J27" i="1"/>
  <c r="J10" i="1"/>
  <c r="J6" i="1"/>
  <c r="J22" i="1" s="1"/>
  <c r="S19" i="1"/>
  <c r="S18" i="1" s="1"/>
  <c r="S4" i="1"/>
  <c r="T4" i="1" s="1"/>
  <c r="U4" i="1" s="1"/>
  <c r="V4" i="1" s="1"/>
  <c r="W4" i="1" s="1"/>
  <c r="X4" i="1" s="1"/>
  <c r="Y4" i="1" s="1"/>
  <c r="Z4" i="1" s="1"/>
  <c r="AA4" i="1" s="1"/>
  <c r="AB4" i="1" s="1"/>
  <c r="AC4" i="1" s="1"/>
  <c r="AK26" i="1"/>
  <c r="S14" i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Q27" i="1"/>
  <c r="P27" i="1"/>
  <c r="R27" i="1"/>
  <c r="O10" i="1"/>
  <c r="O6" i="1"/>
  <c r="O22" i="1" s="1"/>
  <c r="P10" i="1"/>
  <c r="P6" i="1"/>
  <c r="P22" i="1" s="1"/>
  <c r="Q10" i="1"/>
  <c r="Q6" i="1"/>
  <c r="Q22" i="1" s="1"/>
  <c r="R10" i="1"/>
  <c r="R6" i="1"/>
  <c r="H69" i="1"/>
  <c r="G75" i="1"/>
  <c r="H75" i="1" s="1"/>
  <c r="G73" i="1"/>
  <c r="H73" i="1" s="1"/>
  <c r="I73" i="1" s="1"/>
  <c r="G71" i="1"/>
  <c r="H71" i="1" s="1"/>
  <c r="G70" i="1"/>
  <c r="H70" i="1" s="1"/>
  <c r="G68" i="1"/>
  <c r="H68" i="1" s="1"/>
  <c r="G59" i="1"/>
  <c r="H59" i="1" s="1"/>
  <c r="G56" i="1"/>
  <c r="H56" i="1" s="1"/>
  <c r="G55" i="1"/>
  <c r="H55" i="1" s="1"/>
  <c r="I55" i="1" s="1"/>
  <c r="G53" i="1"/>
  <c r="F64" i="1"/>
  <c r="F74" i="1"/>
  <c r="F63" i="1"/>
  <c r="F60" i="1"/>
  <c r="F61" i="1" s="1"/>
  <c r="F43" i="1"/>
  <c r="F42" i="1"/>
  <c r="F41" i="1"/>
  <c r="F36" i="1"/>
  <c r="F32" i="1"/>
  <c r="F30" i="1"/>
  <c r="F29" i="1" s="1"/>
  <c r="G43" i="1"/>
  <c r="G42" i="1"/>
  <c r="G41" i="1"/>
  <c r="G36" i="1"/>
  <c r="G32" i="1"/>
  <c r="G30" i="1"/>
  <c r="H43" i="1"/>
  <c r="H42" i="1"/>
  <c r="H41" i="1"/>
  <c r="H36" i="1"/>
  <c r="H32" i="1"/>
  <c r="H30" i="1"/>
  <c r="H29" i="1" s="1"/>
  <c r="E43" i="1"/>
  <c r="E42" i="1"/>
  <c r="E41" i="1"/>
  <c r="E36" i="1"/>
  <c r="E32" i="1"/>
  <c r="E30" i="1"/>
  <c r="E29" i="1" s="1"/>
  <c r="I41" i="1"/>
  <c r="I43" i="1"/>
  <c r="I42" i="1"/>
  <c r="I36" i="1"/>
  <c r="I32" i="1"/>
  <c r="I30" i="1"/>
  <c r="I29" i="1" s="1"/>
  <c r="R29" i="1" s="1"/>
  <c r="S12" i="1" s="1"/>
  <c r="H27" i="1"/>
  <c r="G27" i="1"/>
  <c r="F27" i="1"/>
  <c r="I27" i="1"/>
  <c r="B10" i="1"/>
  <c r="B6" i="1"/>
  <c r="F10" i="1"/>
  <c r="F6" i="1"/>
  <c r="F22" i="1" s="1"/>
  <c r="C10" i="1"/>
  <c r="C6" i="1"/>
  <c r="C22" i="1" s="1"/>
  <c r="G10" i="1"/>
  <c r="G6" i="1"/>
  <c r="G22" i="1" s="1"/>
  <c r="D10" i="1"/>
  <c r="D6" i="1"/>
  <c r="D22" i="1" s="1"/>
  <c r="H10" i="1"/>
  <c r="H6" i="1"/>
  <c r="H22" i="1" s="1"/>
  <c r="E10" i="1"/>
  <c r="E6" i="1"/>
  <c r="E22" i="1" s="1"/>
  <c r="I10" i="1"/>
  <c r="I6" i="1"/>
  <c r="J6" i="2"/>
  <c r="J5" i="2"/>
  <c r="J8" i="2" s="1"/>
  <c r="J10" i="2" s="1"/>
  <c r="Q3" i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C27" i="1" l="1"/>
  <c r="AD4" i="1"/>
  <c r="AC8" i="1"/>
  <c r="AA8" i="1"/>
  <c r="Y27" i="1"/>
  <c r="Z27" i="1"/>
  <c r="S8" i="1"/>
  <c r="S10" i="1" s="1"/>
  <c r="AA27" i="1"/>
  <c r="T8" i="1"/>
  <c r="T21" i="1" s="1"/>
  <c r="AB27" i="1"/>
  <c r="U8" i="1"/>
  <c r="V8" i="1"/>
  <c r="W8" i="1"/>
  <c r="S27" i="1"/>
  <c r="X8" i="1"/>
  <c r="T27" i="1"/>
  <c r="Y8" i="1"/>
  <c r="Y21" i="1" s="1"/>
  <c r="U27" i="1"/>
  <c r="Z8" i="1"/>
  <c r="Z21" i="1" s="1"/>
  <c r="AD27" i="1"/>
  <c r="J38" i="1"/>
  <c r="J45" i="1"/>
  <c r="T19" i="1"/>
  <c r="U19" i="1" s="1"/>
  <c r="V19" i="1" s="1"/>
  <c r="J47" i="1"/>
  <c r="W21" i="1"/>
  <c r="X21" i="1"/>
  <c r="AA21" i="1"/>
  <c r="I75" i="1"/>
  <c r="AB21" i="1"/>
  <c r="AC21" i="1"/>
  <c r="U21" i="1"/>
  <c r="V21" i="1"/>
  <c r="S29" i="1"/>
  <c r="T12" i="1" s="1"/>
  <c r="AK24" i="1"/>
  <c r="U10" i="1"/>
  <c r="V10" i="1"/>
  <c r="W10" i="1"/>
  <c r="X10" i="1"/>
  <c r="E45" i="1"/>
  <c r="AA10" i="1"/>
  <c r="AB10" i="1"/>
  <c r="AC10" i="1"/>
  <c r="J11" i="1"/>
  <c r="J15" i="1" s="1"/>
  <c r="S24" i="1"/>
  <c r="U6" i="1"/>
  <c r="S6" i="1"/>
  <c r="H45" i="1"/>
  <c r="F45" i="1"/>
  <c r="T6" i="1"/>
  <c r="I59" i="1"/>
  <c r="O11" i="1"/>
  <c r="O15" i="1" s="1"/>
  <c r="P11" i="1"/>
  <c r="P15" i="1" s="1"/>
  <c r="Q11" i="1"/>
  <c r="Q15" i="1" s="1"/>
  <c r="R11" i="1"/>
  <c r="R22" i="1"/>
  <c r="G60" i="1"/>
  <c r="I68" i="1"/>
  <c r="I71" i="1"/>
  <c r="I56" i="1"/>
  <c r="H74" i="1"/>
  <c r="I45" i="1"/>
  <c r="I11" i="1"/>
  <c r="H38" i="1"/>
  <c r="F38" i="1"/>
  <c r="G38" i="1"/>
  <c r="G63" i="1"/>
  <c r="H53" i="1"/>
  <c r="I53" i="1" s="1"/>
  <c r="G45" i="1"/>
  <c r="G64" i="1"/>
  <c r="G74" i="1"/>
  <c r="F78" i="1"/>
  <c r="F79" i="1"/>
  <c r="E38" i="1"/>
  <c r="E46" i="1" s="1"/>
  <c r="E47" i="1" s="1"/>
  <c r="G29" i="1"/>
  <c r="I38" i="1"/>
  <c r="F66" i="1"/>
  <c r="F76" i="1" s="1"/>
  <c r="I22" i="1"/>
  <c r="B11" i="1"/>
  <c r="B15" i="1" s="1"/>
  <c r="B22" i="1"/>
  <c r="F11" i="1"/>
  <c r="F15" i="1" s="1"/>
  <c r="C11" i="1"/>
  <c r="C15" i="1" s="1"/>
  <c r="G11" i="1"/>
  <c r="G15" i="1" s="1"/>
  <c r="D11" i="1"/>
  <c r="D15" i="1" s="1"/>
  <c r="H11" i="1"/>
  <c r="H15" i="1" s="1"/>
  <c r="E11" i="1"/>
  <c r="E15" i="1" s="1"/>
  <c r="S21" i="1" l="1"/>
  <c r="H60" i="1"/>
  <c r="H63" i="1"/>
  <c r="I63" i="1" s="1"/>
  <c r="T10" i="1"/>
  <c r="I23" i="1"/>
  <c r="I15" i="1"/>
  <c r="I25" i="1" s="1"/>
  <c r="Z10" i="1"/>
  <c r="H64" i="1"/>
  <c r="I64" i="1" s="1"/>
  <c r="I66" i="1" s="1"/>
  <c r="Y10" i="1"/>
  <c r="AE4" i="1"/>
  <c r="AD8" i="1"/>
  <c r="R23" i="1"/>
  <c r="R15" i="1"/>
  <c r="H46" i="1"/>
  <c r="H47" i="1" s="1"/>
  <c r="J23" i="1"/>
  <c r="U11" i="1"/>
  <c r="U23" i="1" s="1"/>
  <c r="U22" i="1"/>
  <c r="S11" i="1"/>
  <c r="S15" i="1" s="1"/>
  <c r="S22" i="1"/>
  <c r="T11" i="1"/>
  <c r="T22" i="1"/>
  <c r="V6" i="1"/>
  <c r="F46" i="1"/>
  <c r="F47" i="1" s="1"/>
  <c r="G46" i="1"/>
  <c r="G47" i="1" s="1"/>
  <c r="O23" i="1"/>
  <c r="P23" i="1"/>
  <c r="Q23" i="1"/>
  <c r="R25" i="1"/>
  <c r="G61" i="1"/>
  <c r="G78" i="1" s="1"/>
  <c r="H61" i="1"/>
  <c r="H79" i="1" s="1"/>
  <c r="I60" i="1"/>
  <c r="I46" i="1"/>
  <c r="I47" i="1" s="1"/>
  <c r="G66" i="1"/>
  <c r="B23" i="1"/>
  <c r="B25" i="1"/>
  <c r="B17" i="1"/>
  <c r="F23" i="1"/>
  <c r="C23" i="1"/>
  <c r="G23" i="1"/>
  <c r="D23" i="1"/>
  <c r="H23" i="1"/>
  <c r="E23" i="1"/>
  <c r="J79" i="1" l="1"/>
  <c r="J78" i="1"/>
  <c r="J66" i="1"/>
  <c r="H66" i="1"/>
  <c r="AD10" i="1"/>
  <c r="AD21" i="1"/>
  <c r="AF4" i="1"/>
  <c r="AE8" i="1"/>
  <c r="AE27" i="1"/>
  <c r="T23" i="1"/>
  <c r="T15" i="1"/>
  <c r="J25" i="1"/>
  <c r="J17" i="1"/>
  <c r="J52" i="1" s="1"/>
  <c r="V11" i="1"/>
  <c r="V23" i="1" s="1"/>
  <c r="V22" i="1"/>
  <c r="S16" i="1"/>
  <c r="S25" i="1" s="1"/>
  <c r="S23" i="1"/>
  <c r="W6" i="1"/>
  <c r="I61" i="1"/>
  <c r="O25" i="1"/>
  <c r="O17" i="1"/>
  <c r="P25" i="1"/>
  <c r="P17" i="1"/>
  <c r="Q25" i="1"/>
  <c r="Q17" i="1"/>
  <c r="R17" i="1"/>
  <c r="R24" i="1" s="1"/>
  <c r="G76" i="1"/>
  <c r="H78" i="1"/>
  <c r="G79" i="1"/>
  <c r="H76" i="1"/>
  <c r="I17" i="1"/>
  <c r="I52" i="1" s="1"/>
  <c r="B24" i="1"/>
  <c r="B18" i="1"/>
  <c r="F25" i="1"/>
  <c r="F17" i="1"/>
  <c r="C25" i="1"/>
  <c r="C17" i="1"/>
  <c r="G25" i="1"/>
  <c r="G17" i="1"/>
  <c r="D25" i="1"/>
  <c r="D17" i="1"/>
  <c r="H17" i="1"/>
  <c r="H52" i="1" s="1"/>
  <c r="H25" i="1"/>
  <c r="E25" i="1"/>
  <c r="E17" i="1"/>
  <c r="AE21" i="1" l="1"/>
  <c r="AE10" i="1"/>
  <c r="AG4" i="1"/>
  <c r="AF8" i="1"/>
  <c r="AF27" i="1"/>
  <c r="H49" i="1"/>
  <c r="H50" i="1" s="1"/>
  <c r="G49" i="1"/>
  <c r="G50" i="1" s="1"/>
  <c r="G52" i="1"/>
  <c r="J49" i="1"/>
  <c r="J50" i="1" s="1"/>
  <c r="F49" i="1"/>
  <c r="F50" i="1" s="1"/>
  <c r="F52" i="1"/>
  <c r="I49" i="1"/>
  <c r="I50" i="1" s="1"/>
  <c r="E49" i="1"/>
  <c r="E50" i="1" s="1"/>
  <c r="J24" i="1"/>
  <c r="J18" i="1"/>
  <c r="W11" i="1"/>
  <c r="W23" i="1" s="1"/>
  <c r="W22" i="1"/>
  <c r="X6" i="1"/>
  <c r="I79" i="1"/>
  <c r="I78" i="1"/>
  <c r="O24" i="1"/>
  <c r="O18" i="1"/>
  <c r="P24" i="1"/>
  <c r="P18" i="1"/>
  <c r="Q24" i="1"/>
  <c r="Q18" i="1"/>
  <c r="R18" i="1"/>
  <c r="I18" i="1"/>
  <c r="I24" i="1"/>
  <c r="F24" i="1"/>
  <c r="F18" i="1"/>
  <c r="C24" i="1"/>
  <c r="C18" i="1"/>
  <c r="G24" i="1"/>
  <c r="G18" i="1"/>
  <c r="D24" i="1"/>
  <c r="D18" i="1"/>
  <c r="H18" i="1"/>
  <c r="H24" i="1"/>
  <c r="E24" i="1"/>
  <c r="E18" i="1"/>
  <c r="AH4" i="1" l="1"/>
  <c r="AG8" i="1"/>
  <c r="AG27" i="1"/>
  <c r="AF21" i="1"/>
  <c r="AF10" i="1"/>
  <c r="X11" i="1"/>
  <c r="X23" i="1" s="1"/>
  <c r="X22" i="1"/>
  <c r="Y6" i="1"/>
  <c r="AH8" i="1" l="1"/>
  <c r="AH27" i="1"/>
  <c r="AG21" i="1"/>
  <c r="AG10" i="1"/>
  <c r="Y11" i="1"/>
  <c r="Y23" i="1" s="1"/>
  <c r="Y22" i="1"/>
  <c r="Z6" i="1"/>
  <c r="AH10" i="1" l="1"/>
  <c r="AH21" i="1"/>
  <c r="Z11" i="1"/>
  <c r="Z23" i="1" s="1"/>
  <c r="Z22" i="1"/>
  <c r="AA6" i="1"/>
  <c r="AA11" i="1" l="1"/>
  <c r="AA23" i="1" s="1"/>
  <c r="AA22" i="1"/>
  <c r="AB6" i="1"/>
  <c r="AB11" i="1" l="1"/>
  <c r="AB23" i="1" s="1"/>
  <c r="AB22" i="1"/>
  <c r="AC5" i="1"/>
  <c r="AC6" i="1" l="1"/>
  <c r="AD5" i="1"/>
  <c r="AE5" i="1" s="1"/>
  <c r="AF5" i="1" s="1"/>
  <c r="AG5" i="1" s="1"/>
  <c r="AH5" i="1" s="1"/>
  <c r="AC11" i="1"/>
  <c r="AC23" i="1" s="1"/>
  <c r="AC22" i="1"/>
  <c r="AD6" i="1"/>
  <c r="AD11" i="1" l="1"/>
  <c r="AD23" i="1" s="1"/>
  <c r="AD22" i="1"/>
  <c r="AE6" i="1"/>
  <c r="AE11" i="1" l="1"/>
  <c r="AE23" i="1" s="1"/>
  <c r="AE22" i="1"/>
  <c r="AF6" i="1"/>
  <c r="AF11" i="1" l="1"/>
  <c r="AF23" i="1" s="1"/>
  <c r="AF22" i="1"/>
  <c r="AG6" i="1"/>
  <c r="AG11" i="1" l="1"/>
  <c r="AG23" i="1" s="1"/>
  <c r="AG22" i="1"/>
  <c r="AH6" i="1"/>
  <c r="AH11" i="1" l="1"/>
  <c r="AH23" i="1" s="1"/>
  <c r="AH22" i="1"/>
  <c r="T16" i="1" l="1"/>
  <c r="T25" i="1" s="1"/>
  <c r="T17" i="1" l="1"/>
  <c r="T29" i="1" s="1"/>
  <c r="T24" i="1" l="1"/>
  <c r="T18" i="1"/>
  <c r="U12" i="1"/>
  <c r="U15" i="1" l="1"/>
  <c r="U16" i="1" s="1"/>
  <c r="U25" i="1" s="1"/>
  <c r="U17" i="1" l="1"/>
  <c r="U24" i="1" s="1"/>
  <c r="U29" i="1" l="1"/>
  <c r="V12" i="1" s="1"/>
  <c r="V15" i="1" s="1"/>
  <c r="V16" i="1" s="1"/>
  <c r="V25" i="1" s="1"/>
  <c r="U18" i="1"/>
  <c r="V17" i="1" l="1"/>
  <c r="V29" i="1" s="1"/>
  <c r="V24" i="1" l="1"/>
  <c r="V18" i="1"/>
  <c r="W12" i="1"/>
  <c r="W15" i="1" s="1"/>
  <c r="W16" i="1" l="1"/>
  <c r="W25" i="1" s="1"/>
  <c r="W17" i="1" l="1"/>
  <c r="W24" i="1" l="1"/>
  <c r="W29" i="1"/>
  <c r="X12" i="1" s="1"/>
  <c r="X15" i="1" s="1"/>
  <c r="X16" i="1" s="1"/>
  <c r="X25" i="1" s="1"/>
  <c r="X17" i="1" l="1"/>
  <c r="X29" i="1" s="1"/>
  <c r="Y12" i="1" s="1"/>
  <c r="Y15" i="1" s="1"/>
  <c r="X24" i="1" l="1"/>
  <c r="Y16" i="1"/>
  <c r="Y25" i="1" s="1"/>
  <c r="Y17" i="1" l="1"/>
  <c r="Y24" i="1" l="1"/>
  <c r="Y29" i="1"/>
  <c r="Z12" i="1" s="1"/>
  <c r="Z15" i="1" l="1"/>
  <c r="Z16" i="1" l="1"/>
  <c r="Z25" i="1" s="1"/>
  <c r="Z17" i="1" l="1"/>
  <c r="Z24" i="1" l="1"/>
  <c r="Z29" i="1"/>
  <c r="AA12" i="1" s="1"/>
  <c r="AA15" i="1" l="1"/>
  <c r="AA16" i="1" l="1"/>
  <c r="AA25" i="1" s="1"/>
  <c r="AA17" i="1" l="1"/>
  <c r="AA24" i="1" l="1"/>
  <c r="AA29" i="1"/>
  <c r="AB12" i="1" s="1"/>
  <c r="AB15" i="1" l="1"/>
  <c r="AB16" i="1" l="1"/>
  <c r="AB25" i="1" s="1"/>
  <c r="AB17" i="1" l="1"/>
  <c r="AB24" i="1" l="1"/>
  <c r="AB29" i="1"/>
  <c r="AC12" i="1" s="1"/>
  <c r="AC15" i="1" l="1"/>
  <c r="AC16" i="1" l="1"/>
  <c r="AC25" i="1" s="1"/>
  <c r="AC17" i="1" l="1"/>
  <c r="AC24" i="1" l="1"/>
  <c r="AC29" i="1"/>
  <c r="AD12" i="1" s="1"/>
  <c r="AD15" i="1" l="1"/>
  <c r="AD16" i="1" l="1"/>
  <c r="AD25" i="1" s="1"/>
  <c r="AD17" i="1" l="1"/>
  <c r="AD24" i="1" l="1"/>
  <c r="AD29" i="1"/>
  <c r="AE12" i="1" s="1"/>
  <c r="AE15" i="1" l="1"/>
  <c r="AE16" i="1" l="1"/>
  <c r="AE25" i="1" s="1"/>
  <c r="AE17" i="1" l="1"/>
  <c r="AE24" i="1" l="1"/>
  <c r="AE29" i="1"/>
  <c r="AF12" i="1" s="1"/>
  <c r="AF15" i="1" l="1"/>
  <c r="AF16" i="1" l="1"/>
  <c r="AF25" i="1" s="1"/>
  <c r="AF17" i="1" l="1"/>
  <c r="AF24" i="1" l="1"/>
  <c r="AF29" i="1"/>
  <c r="AG12" i="1" s="1"/>
  <c r="AG15" i="1" l="1"/>
  <c r="AG16" i="1" l="1"/>
  <c r="AG25" i="1" s="1"/>
  <c r="AG17" i="1" l="1"/>
  <c r="AG24" i="1" l="1"/>
  <c r="AG29" i="1"/>
  <c r="AH12" i="1" s="1"/>
  <c r="AH15" i="1" l="1"/>
  <c r="AH16" i="1" l="1"/>
  <c r="AH25" i="1" s="1"/>
  <c r="AH17" i="1" l="1"/>
  <c r="AI17" i="1" l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CN17" i="1" s="1"/>
  <c r="CO17" i="1" s="1"/>
  <c r="CP17" i="1" s="1"/>
  <c r="CQ17" i="1" s="1"/>
  <c r="CR17" i="1" s="1"/>
  <c r="CS17" i="1" s="1"/>
  <c r="CT17" i="1" s="1"/>
  <c r="CU17" i="1" s="1"/>
  <c r="CV17" i="1" s="1"/>
  <c r="CW17" i="1" s="1"/>
  <c r="CX17" i="1" s="1"/>
  <c r="CY17" i="1" s="1"/>
  <c r="CZ17" i="1" s="1"/>
  <c r="DA17" i="1" s="1"/>
  <c r="DB17" i="1" s="1"/>
  <c r="DC17" i="1" s="1"/>
  <c r="DD17" i="1" s="1"/>
  <c r="DE17" i="1" s="1"/>
  <c r="DF17" i="1" s="1"/>
  <c r="DG17" i="1" s="1"/>
  <c r="DH17" i="1" s="1"/>
  <c r="DI17" i="1" s="1"/>
  <c r="DJ17" i="1" s="1"/>
  <c r="DK17" i="1" s="1"/>
  <c r="DL17" i="1" s="1"/>
  <c r="DM17" i="1" s="1"/>
  <c r="DN17" i="1" s="1"/>
  <c r="DO17" i="1" s="1"/>
  <c r="DP17" i="1" s="1"/>
  <c r="DQ17" i="1" s="1"/>
  <c r="DR17" i="1" s="1"/>
  <c r="DS17" i="1" s="1"/>
  <c r="DT17" i="1" s="1"/>
  <c r="DU17" i="1" s="1"/>
  <c r="DV17" i="1" s="1"/>
  <c r="DW17" i="1" s="1"/>
  <c r="DX17" i="1" s="1"/>
  <c r="DY17" i="1" s="1"/>
  <c r="DZ17" i="1" s="1"/>
  <c r="EA17" i="1" s="1"/>
  <c r="EB17" i="1" s="1"/>
  <c r="EC17" i="1" s="1"/>
  <c r="ED17" i="1" s="1"/>
  <c r="AK23" i="1" s="1"/>
  <c r="AK25" i="1" s="1"/>
  <c r="AK27" i="1" s="1"/>
  <c r="AK28" i="1" s="1"/>
  <c r="AH24" i="1"/>
  <c r="AH29" i="1"/>
  <c r="J74" i="1" l="1"/>
  <c r="J76" i="1" s="1"/>
  <c r="I76" i="1"/>
  <c r="I74" i="1"/>
  <c r="I70" i="1"/>
</calcChain>
</file>

<file path=xl/sharedStrings.xml><?xml version="1.0" encoding="utf-8"?>
<sst xmlns="http://schemas.openxmlformats.org/spreadsheetml/2006/main" count="100" uniqueCount="86">
  <si>
    <t>Tenable holdings</t>
  </si>
  <si>
    <t>(TENB)</t>
  </si>
  <si>
    <t>(in millions)</t>
  </si>
  <si>
    <t>Q122</t>
  </si>
  <si>
    <t>Q222</t>
  </si>
  <si>
    <t>Q322</t>
  </si>
  <si>
    <t>Q422</t>
  </si>
  <si>
    <t>Q123</t>
  </si>
  <si>
    <t>Q223</t>
  </si>
  <si>
    <t>Q323</t>
  </si>
  <si>
    <t>Q423</t>
  </si>
  <si>
    <t>Price</t>
  </si>
  <si>
    <t>Shares</t>
  </si>
  <si>
    <t>MC</t>
  </si>
  <si>
    <t>Cash</t>
  </si>
  <si>
    <t>Debt</t>
  </si>
  <si>
    <t>EV</t>
  </si>
  <si>
    <t>Revenue</t>
  </si>
  <si>
    <t>COGS</t>
  </si>
  <si>
    <t>Gross profit</t>
  </si>
  <si>
    <t>S&amp;M</t>
  </si>
  <si>
    <t>R&amp;D</t>
  </si>
  <si>
    <t>G&amp;A</t>
  </si>
  <si>
    <t>Operating expense</t>
  </si>
  <si>
    <t>Operating income</t>
  </si>
  <si>
    <t>Interest income</t>
  </si>
  <si>
    <t>Pretaxes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</si>
  <si>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</si>
  <si>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</si>
  <si>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</si>
  <si>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</si>
  <si>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</si>
  <si>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</si>
  <si>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</si>
  <si>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Other</t>
  </si>
  <si>
    <t>Interest expense</t>
  </si>
  <si>
    <t>Revenue y/y</t>
  </si>
  <si>
    <t>Net cash</t>
  </si>
  <si>
    <t>A/R</t>
  </si>
  <si>
    <t>Deferred taxes</t>
  </si>
  <si>
    <t>Prepaid</t>
  </si>
  <si>
    <t>Working capital</t>
  </si>
  <si>
    <t>PP&amp;E</t>
  </si>
  <si>
    <t>Lease</t>
  </si>
  <si>
    <t>Goodwill</t>
  </si>
  <si>
    <t>OA</t>
  </si>
  <si>
    <t>Total assets</t>
  </si>
  <si>
    <t>A/P</t>
  </si>
  <si>
    <t>Accrued compensation</t>
  </si>
  <si>
    <t>D/R</t>
  </si>
  <si>
    <t>OL</t>
  </si>
  <si>
    <t>S/E</t>
  </si>
  <si>
    <t>L+S/E</t>
  </si>
  <si>
    <t>Total liabilities</t>
  </si>
  <si>
    <t>Model NI</t>
  </si>
  <si>
    <t>Reported NI</t>
  </si>
  <si>
    <t>D&amp;A</t>
  </si>
  <si>
    <t>SBC</t>
  </si>
  <si>
    <t>CFFO</t>
  </si>
  <si>
    <t>CapEx</t>
  </si>
  <si>
    <t>Investments</t>
  </si>
  <si>
    <t>Acquisitions</t>
  </si>
  <si>
    <t>CFFI</t>
  </si>
  <si>
    <t>Loan payments</t>
  </si>
  <si>
    <t>Stock options</t>
  </si>
  <si>
    <t>CFFF</t>
  </si>
  <si>
    <t>FX</t>
  </si>
  <si>
    <t>CIC</t>
  </si>
  <si>
    <t>CFFO+CapEx-SBC</t>
  </si>
  <si>
    <t>CFFO+CapEx</t>
  </si>
  <si>
    <t>Loan agreement</t>
  </si>
  <si>
    <t>Deferred income taxes</t>
  </si>
  <si>
    <t>Premiums Investements</t>
  </si>
  <si>
    <t>Treasury stock purchase</t>
  </si>
  <si>
    <t>ROIC</t>
  </si>
  <si>
    <t>Maturity value</t>
  </si>
  <si>
    <t>Discount rate</t>
  </si>
  <si>
    <t>NPV</t>
  </si>
  <si>
    <t>Total value</t>
  </si>
  <si>
    <t>Current price</t>
  </si>
  <si>
    <t>Share price</t>
  </si>
  <si>
    <t>Q124</t>
  </si>
  <si>
    <t>R&amp;D margin</t>
  </si>
  <si>
    <t>NI TTM</t>
  </si>
  <si>
    <t>Amor debt issuance cost</t>
  </si>
  <si>
    <t>FCF TTM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</si>
</sst>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4" x14ac:knownFonts="1">
    <font>
      <sz val="10"/>
      <color theme="1"/>
      <name val="Arial"/>
      <family val="2"/>
    </font>
    <font>
      <sz val="2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9" fontId="3" fillId="0" borderId="0" xfId="0" applyNumberFormat="1" applyFont="1"/>
    <xf numFmtId="9" fontId="3" fillId="0" borderId="0" xfId="0" applyNumberFormat="1" applyFont="1" applyAlignment="1">
      <alignment horizontal="right"/>
    </xf>
    <xf numFmtId="9" fontId="0" fillId="0" borderId="0" xfId="1" applyFont="1"/>
    <xf numFmtId="9" fontId="0" fillId="0" borderId="0" xfId="1" applyFont="1" applyAlignment="1">
      <alignment horizontal="right"/>
    </xf>
    <xf numFmtId="9" fontId="0" fillId="0" borderId="0" xfId="0" applyNumberFormat="1"/>
    <xf numFmtId="9" fontId="0" fillId="0" borderId="0" xfId="1" applyFont="1" applyAlignment="1">
      <alignment horizontal="left"/>
    </xf>
    <xf numFmtId="0" fontId="0" fillId="0" borderId="0" xfId="0" applyAlignment="1">
      <alignment horizontal="left"/>
    </xf>
    <xf numFmtId="9" fontId="3" fillId="0" borderId="0" xfId="0" applyNumberFormat="1" applyFont="1" applyAlignment="1">
      <alignment horizontal="left"/>
    </xf>
    <xf numFmtId="9" fontId="0" fillId="0" borderId="0" xfId="0" applyNumberFormat="1" applyAlignment="1">
      <alignment horizontal="left"/>
    </xf>
    <xf numFmtId="3" fontId="0" fillId="0" borderId="0" xfId="1" applyNumberFormat="1" applyFont="1" applyAlignment="1">
      <alignment horizontal="right"/>
    </xf>
    <xf numFmtId="164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28575</xdr:colOff>
      <xdr:row>0</xdr:row>
      <xdr:rowOff>38100</xdr:rowOff>
    </xdr:from>
    <xdr:to>
      <xdr:col>18</xdr:col>
      <xdr:colOff>28575</xdr:colOff>
      <xdr:row>44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0AC29C3-2967-FB1E-A4CA-9C5AE627359D}"/>
            </a:ext>
          </a:extLst>
        </xdr:cNvPr>
        <xdr:cNvCxnSpPr/>
      </xdr:nvCxnSpPr>
      <xdr:spPr>
        <a:xfrm>
          <a:off x="13792200" y="38100"/>
          <a:ext cx="0" cy="7248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0</xdr:row>
      <xdr:rowOff>28575</xdr:rowOff>
    </xdr:from>
    <xdr:to>
      <xdr:col>10</xdr:col>
      <xdr:colOff>28575</xdr:colOff>
      <xdr:row>80</xdr:row>
      <xdr:rowOff>142875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9D86EB4-379C-41FE-9773-A45F8F1DA820}"/>
            </a:ext>
          </a:extLst>
        </xdr:cNvPr>
        <xdr:cNvCxnSpPr/>
      </xdr:nvCxnSpPr>
      <xdr:spPr>
        <a:xfrm>
          <a:off x="8915400" y="28575"/>
          <a:ext cx="0" cy="13182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2D54-2FCD-4925-ADA8-6899636F8134}">
  <dimension ref="A1:K10"/>
  <sheetViews>
    <sheetView workbookViewId="0">
      <selection activeCell="J5" sqref="J5"/>
    </sheetView>
  </sheetViews>
  <sheetFormatPr defaultRowHeight="12.75" x14ac:dyDescent="0.2"/>
  <cols>
    <col min="1" max="1" width="43" bestFit="1" customWidth="1"/>
  </cols>
  <sheetData>
    <row r="1" spans="1:11" ht="34.5" x14ac:dyDescent="0.45">
      <c r="A1" s="1" t="s">
        <v>0</v>
      </c>
    </row>
    <row r="2" spans="1:11" x14ac:dyDescent="0.2">
      <c r="A2" t="s">
        <v>1</v>
      </c>
    </row>
    <row r="3" spans="1:11" x14ac:dyDescent="0.2">
      <c r="A3" t="s">
        <v>2</v>
      </c>
      <c r="I3" t="s">
        <v>11</v>
      </c>
      <c r="J3" s="2">
        <v>42.5</v>
      </c>
    </row>
    <row r="4" spans="1:11" x14ac:dyDescent="0.2">
      <c r="I4" t="s">
        <v>12</v>
      </c>
      <c r="J4" s="2">
        <f>+Model!J19</f>
        <v>117.542</v>
      </c>
      <c r="K4" s="4" t="s">
        <v>10</v>
      </c>
    </row>
    <row r="5" spans="1:11" x14ac:dyDescent="0.2">
      <c r="I5" t="s">
        <v>13</v>
      </c>
      <c r="J5" s="2">
        <f>+J3*J4</f>
        <v>4995.5349999999999</v>
      </c>
      <c r="K5" s="4"/>
    </row>
    <row r="6" spans="1:11" x14ac:dyDescent="0.2">
      <c r="I6" t="s">
        <v>14</v>
      </c>
      <c r="J6" s="2">
        <f>237.132+236.84</f>
        <v>473.97199999999998</v>
      </c>
      <c r="K6" s="4" t="s">
        <v>10</v>
      </c>
    </row>
    <row r="7" spans="1:11" x14ac:dyDescent="0.2">
      <c r="I7" t="s">
        <v>15</v>
      </c>
      <c r="J7" s="2">
        <v>359.28100000000001</v>
      </c>
      <c r="K7" s="4" t="s">
        <v>10</v>
      </c>
    </row>
    <row r="8" spans="1:11" x14ac:dyDescent="0.2">
      <c r="I8" t="s">
        <v>16</v>
      </c>
      <c r="J8" s="2">
        <f>+J5-J6+J7</f>
        <v>4880.8440000000001</v>
      </c>
    </row>
    <row r="9" spans="1:11" x14ac:dyDescent="0.2">
      <c r="J9">
        <v>615</v>
      </c>
    </row>
    <row r="10" spans="1:11" x14ac:dyDescent="0.2">
      <c r="J10" s="21">
        <f>+J8/J9</f>
        <v>7.9363317073170734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6770-8682-4E8E-BCF9-1925775249F7}">
  <dimension ref="A1:ED81"/>
  <sheetViews>
    <sheetView tabSelected="1" workbookViewId="0">
      <pane xSplit="1" ySplit="3" topLeftCell="F4" activePane="bottomRight" state="frozen"/>
      <selection pane="topRight" activeCell="B1" sqref="B1"/>
      <selection pane="bottomLeft" activeCell="A4" sqref="A4"/>
      <selection pane="bottomRight" activeCell="N18" sqref="N18"/>
    </sheetView>
  </sheetViews>
  <sheetFormatPr defaultRowHeight="12.75" x14ac:dyDescent="0.2"/>
  <cols>
    <col min="1" max="1" width="43" bestFit="1" customWidth="1"/>
    <col min="2" max="9" width="10.140625" style="3" bestFit="1" customWidth="1"/>
    <col min="10" max="14" width="9.140625" style="4"/>
    <col min="15" max="34" width="9.140625" style="3"/>
    <col min="35" max="35" width="9.140625" style="4"/>
    <col min="36" max="36" width="12.42578125" style="4" bestFit="1" customWidth="1"/>
    <col min="37" max="16384" width="9.140625" style="4"/>
  </cols>
  <sheetData>
    <row r="1" spans="1:34" ht="34.5" x14ac:dyDescent="0.45">
      <c r="A1" s="1" t="s">
        <v>0</v>
      </c>
    </row>
    <row r="2" spans="1:34" s="5" customFormat="1" x14ac:dyDescent="0.2">
      <c r="A2" t="s">
        <v>1</v>
      </c>
      <c r="B2" s="5">
        <v>45016</v>
      </c>
      <c r="C2" s="5">
        <v>45107</v>
      </c>
      <c r="D2" s="5">
        <v>44834</v>
      </c>
      <c r="E2" s="5">
        <v>44926</v>
      </c>
      <c r="F2" s="5">
        <v>45016</v>
      </c>
      <c r="G2" s="5">
        <v>45107</v>
      </c>
      <c r="H2" s="5">
        <v>45199</v>
      </c>
      <c r="I2" s="5">
        <v>45291</v>
      </c>
      <c r="J2" s="5">
        <v>45382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x14ac:dyDescent="0.2">
      <c r="A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4" t="s">
        <v>81</v>
      </c>
      <c r="O3" s="4">
        <v>2020</v>
      </c>
      <c r="P3" s="4">
        <v>2021</v>
      </c>
      <c r="Q3" s="4">
        <f>+P3+1</f>
        <v>2022</v>
      </c>
      <c r="R3" s="4">
        <f t="shared" ref="R3:AH3" si="0">+Q3+1</f>
        <v>2023</v>
      </c>
      <c r="S3" s="4">
        <f t="shared" si="0"/>
        <v>2024</v>
      </c>
      <c r="T3" s="4">
        <f t="shared" si="0"/>
        <v>2025</v>
      </c>
      <c r="U3" s="4">
        <f t="shared" si="0"/>
        <v>2026</v>
      </c>
      <c r="V3" s="4">
        <f t="shared" si="0"/>
        <v>2027</v>
      </c>
      <c r="W3" s="4">
        <f t="shared" si="0"/>
        <v>2028</v>
      </c>
      <c r="X3" s="4">
        <f t="shared" si="0"/>
        <v>2029</v>
      </c>
      <c r="Y3" s="4">
        <f t="shared" si="0"/>
        <v>2030</v>
      </c>
      <c r="Z3" s="4">
        <f t="shared" si="0"/>
        <v>2031</v>
      </c>
      <c r="AA3" s="4">
        <f t="shared" si="0"/>
        <v>2032</v>
      </c>
      <c r="AB3" s="4">
        <f t="shared" si="0"/>
        <v>2033</v>
      </c>
      <c r="AC3" s="4">
        <f t="shared" si="0"/>
        <v>2034</v>
      </c>
      <c r="AD3" s="4">
        <f t="shared" si="0"/>
        <v>2035</v>
      </c>
      <c r="AE3" s="4">
        <f t="shared" si="0"/>
        <v>2036</v>
      </c>
      <c r="AF3" s="4">
        <f t="shared" si="0"/>
        <v>2037</v>
      </c>
      <c r="AG3" s="4">
        <f t="shared" si="0"/>
        <v>2038</v>
      </c>
      <c r="AH3" s="4">
        <f t="shared" si="0"/>
        <v>2039</v>
      </c>
    </row>
    <row r="4" spans="1:34" s="8" customFormat="1" x14ac:dyDescent="0.2">
      <c r="A4" s="6" t="s">
        <v>17</v>
      </c>
      <c r="B4" s="7">
        <v>159.36799999999999</v>
      </c>
      <c r="C4" s="7">
        <v>164.34100000000001</v>
      </c>
      <c r="D4" s="7">
        <v>174.851</v>
      </c>
      <c r="E4" s="7">
        <v>184.631</v>
      </c>
      <c r="F4" s="7">
        <v>188.839</v>
      </c>
      <c r="G4" s="7">
        <v>195.036</v>
      </c>
      <c r="H4" s="7">
        <v>201.529</v>
      </c>
      <c r="I4" s="7">
        <v>213.30600000000001</v>
      </c>
      <c r="J4" s="7">
        <v>215.96100000000001</v>
      </c>
      <c r="O4" s="7">
        <v>440.221</v>
      </c>
      <c r="P4" s="7">
        <v>541.13</v>
      </c>
      <c r="Q4" s="7">
        <v>683.19100000000003</v>
      </c>
      <c r="R4" s="7">
        <v>798.71</v>
      </c>
      <c r="S4" s="7">
        <f>+R4*1.13</f>
        <v>902.54229999999995</v>
      </c>
      <c r="T4" s="7">
        <f t="shared" ref="T4:AH4" si="1">+S4*1.13</f>
        <v>1019.8727989999999</v>
      </c>
      <c r="U4" s="7">
        <f t="shared" si="1"/>
        <v>1152.4562628699998</v>
      </c>
      <c r="V4" s="7">
        <f t="shared" si="1"/>
        <v>1302.2755770430997</v>
      </c>
      <c r="W4" s="7">
        <f t="shared" si="1"/>
        <v>1471.5714020587025</v>
      </c>
      <c r="X4" s="7">
        <f t="shared" si="1"/>
        <v>1662.8756843263336</v>
      </c>
      <c r="Y4" s="7">
        <f t="shared" si="1"/>
        <v>1879.0495232887567</v>
      </c>
      <c r="Z4" s="7">
        <f t="shared" si="1"/>
        <v>2123.325961316295</v>
      </c>
      <c r="AA4" s="7">
        <f t="shared" si="1"/>
        <v>2399.3583362874133</v>
      </c>
      <c r="AB4" s="7">
        <f t="shared" si="1"/>
        <v>2711.274920004777</v>
      </c>
      <c r="AC4" s="7">
        <f>+AB4*1.1</f>
        <v>2982.402412005255</v>
      </c>
      <c r="AD4" s="7">
        <f t="shared" ref="AD4:AH4" si="2">+AC4*1.1</f>
        <v>3280.6426532057808</v>
      </c>
      <c r="AE4" s="7">
        <f t="shared" si="2"/>
        <v>3608.706918526359</v>
      </c>
      <c r="AF4" s="7">
        <f t="shared" si="2"/>
        <v>3969.5776103789954</v>
      </c>
      <c r="AG4" s="7">
        <f t="shared" si="2"/>
        <v>4366.535371416895</v>
      </c>
      <c r="AH4" s="7">
        <f t="shared" si="2"/>
        <v>4803.1889085585854</v>
      </c>
    </row>
    <row r="5" spans="1:34" x14ac:dyDescent="0.2">
      <c r="A5" t="s">
        <v>18</v>
      </c>
      <c r="B5" s="3">
        <v>34.93</v>
      </c>
      <c r="C5" s="3">
        <v>36.036999999999999</v>
      </c>
      <c r="D5" s="3">
        <v>38.582000000000001</v>
      </c>
      <c r="E5" s="3">
        <v>45.24</v>
      </c>
      <c r="F5" s="3">
        <v>45.506</v>
      </c>
      <c r="G5" s="3">
        <v>43.514000000000003</v>
      </c>
      <c r="H5" s="3">
        <v>45.753999999999998</v>
      </c>
      <c r="I5" s="3">
        <v>48.802999999999997</v>
      </c>
      <c r="J5" s="3">
        <v>48.932000000000002</v>
      </c>
      <c r="O5" s="3">
        <v>77.554000000000002</v>
      </c>
      <c r="P5" s="3">
        <v>106.396</v>
      </c>
      <c r="Q5" s="3">
        <v>154.78899999999999</v>
      </c>
      <c r="R5" s="3">
        <v>183.577</v>
      </c>
      <c r="S5" s="3">
        <f>+R5*1.1</f>
        <v>201.93470000000002</v>
      </c>
      <c r="T5" s="3">
        <f t="shared" ref="T5:AB5" si="3">+S5*1.1</f>
        <v>222.12817000000004</v>
      </c>
      <c r="U5" s="3">
        <f t="shared" si="3"/>
        <v>244.34098700000007</v>
      </c>
      <c r="V5" s="3">
        <f t="shared" si="3"/>
        <v>268.77508570000009</v>
      </c>
      <c r="W5" s="3">
        <f t="shared" si="3"/>
        <v>295.65259427000012</v>
      </c>
      <c r="X5" s="3">
        <f t="shared" si="3"/>
        <v>325.21785369700018</v>
      </c>
      <c r="Y5" s="3">
        <f t="shared" si="3"/>
        <v>357.73963906670025</v>
      </c>
      <c r="Z5" s="3">
        <f t="shared" si="3"/>
        <v>393.51360297337033</v>
      </c>
      <c r="AA5" s="3">
        <f t="shared" si="3"/>
        <v>432.86496327070739</v>
      </c>
      <c r="AB5" s="3">
        <f t="shared" si="3"/>
        <v>476.15145959777817</v>
      </c>
      <c r="AC5" s="3">
        <f t="shared" ref="T5:AH5" si="4">+AC4*0.2</f>
        <v>596.48048240105106</v>
      </c>
      <c r="AD5" s="3">
        <f>+AC5*1.08</f>
        <v>644.19892099313518</v>
      </c>
      <c r="AE5" s="3">
        <f t="shared" ref="AE5:AH5" si="5">+AD5*1.08</f>
        <v>695.73483467258609</v>
      </c>
      <c r="AF5" s="3">
        <f t="shared" si="5"/>
        <v>751.39362144639301</v>
      </c>
      <c r="AG5" s="3">
        <f t="shared" si="5"/>
        <v>811.50511116210453</v>
      </c>
      <c r="AH5" s="3">
        <f t="shared" si="5"/>
        <v>876.42552005507298</v>
      </c>
    </row>
    <row r="6" spans="1:34" x14ac:dyDescent="0.2">
      <c r="A6" t="s">
        <v>19</v>
      </c>
      <c r="B6" s="3">
        <f t="shared" ref="B6:I6" si="6">+B4-B5</f>
        <v>124.43799999999999</v>
      </c>
      <c r="C6" s="3">
        <f t="shared" si="6"/>
        <v>128.304</v>
      </c>
      <c r="D6" s="3">
        <f t="shared" si="6"/>
        <v>136.26900000000001</v>
      </c>
      <c r="E6" s="3">
        <f t="shared" si="6"/>
        <v>139.39099999999999</v>
      </c>
      <c r="F6" s="3">
        <f t="shared" si="6"/>
        <v>143.333</v>
      </c>
      <c r="G6" s="3">
        <f t="shared" si="6"/>
        <v>151.52199999999999</v>
      </c>
      <c r="H6" s="3">
        <f t="shared" si="6"/>
        <v>155.77500000000001</v>
      </c>
      <c r="I6" s="3">
        <f t="shared" si="6"/>
        <v>164.50300000000001</v>
      </c>
      <c r="J6" s="3">
        <f t="shared" ref="J6" si="7">+J4-J5</f>
        <v>167.029</v>
      </c>
      <c r="O6" s="3">
        <f>+O4-O5</f>
        <v>362.66700000000003</v>
      </c>
      <c r="P6" s="3">
        <f>+P4-P5</f>
        <v>434.73399999999998</v>
      </c>
      <c r="Q6" s="3">
        <f>+Q4-Q5</f>
        <v>528.40200000000004</v>
      </c>
      <c r="R6" s="3">
        <f>+R4-R5</f>
        <v>615.13300000000004</v>
      </c>
      <c r="S6" s="3">
        <f t="shared" ref="S6:AH6" si="8">+S4-S5</f>
        <v>700.60759999999993</v>
      </c>
      <c r="T6" s="3">
        <f t="shared" si="8"/>
        <v>797.7446289999998</v>
      </c>
      <c r="U6" s="3">
        <f t="shared" si="8"/>
        <v>908.11527586999978</v>
      </c>
      <c r="V6" s="3">
        <f t="shared" si="8"/>
        <v>1033.5004913430996</v>
      </c>
      <c r="W6" s="3">
        <f t="shared" si="8"/>
        <v>1175.9188077887025</v>
      </c>
      <c r="X6" s="3">
        <f t="shared" si="8"/>
        <v>1337.6578306293334</v>
      </c>
      <c r="Y6" s="3">
        <f t="shared" si="8"/>
        <v>1521.3098842220566</v>
      </c>
      <c r="Z6" s="3">
        <f t="shared" si="8"/>
        <v>1729.8123583429247</v>
      </c>
      <c r="AA6" s="3">
        <f t="shared" si="8"/>
        <v>1966.4933730167058</v>
      </c>
      <c r="AB6" s="3">
        <f t="shared" si="8"/>
        <v>2235.1234604069987</v>
      </c>
      <c r="AC6" s="3">
        <f t="shared" si="8"/>
        <v>2385.9219296042038</v>
      </c>
      <c r="AD6" s="3">
        <f t="shared" si="8"/>
        <v>2636.4437322126455</v>
      </c>
      <c r="AE6" s="3">
        <f t="shared" si="8"/>
        <v>2912.9720838537728</v>
      </c>
      <c r="AF6" s="3">
        <f t="shared" si="8"/>
        <v>3218.1839889326025</v>
      </c>
      <c r="AG6" s="3">
        <f t="shared" si="8"/>
        <v>3555.0302602547904</v>
      </c>
      <c r="AH6" s="3">
        <f t="shared" si="8"/>
        <v>3926.7633885035125</v>
      </c>
    </row>
    <row r="7" spans="1:34" x14ac:dyDescent="0.2">
      <c r="A7" t="s">
        <v>20</v>
      </c>
      <c r="B7" s="3">
        <v>81.569999999999993</v>
      </c>
      <c r="C7" s="3">
        <v>88.426000000000002</v>
      </c>
      <c r="D7" s="3">
        <v>88.123000000000005</v>
      </c>
      <c r="E7" s="3">
        <v>91.311000000000007</v>
      </c>
      <c r="F7" s="3">
        <v>97.191000000000003</v>
      </c>
      <c r="G7" s="3">
        <v>97.8</v>
      </c>
      <c r="H7" s="3">
        <v>94.759</v>
      </c>
      <c r="I7" s="3">
        <v>103.7</v>
      </c>
      <c r="J7" s="3">
        <v>99.825000000000003</v>
      </c>
      <c r="O7" s="3">
        <v>224.27699999999999</v>
      </c>
      <c r="P7" s="3">
        <v>270.15800000000002</v>
      </c>
      <c r="Q7" s="3">
        <v>349.43</v>
      </c>
      <c r="R7" s="3">
        <v>393.45</v>
      </c>
      <c r="S7" s="3">
        <f>+R7*1.08</f>
        <v>424.92599999999999</v>
      </c>
      <c r="T7" s="3">
        <f t="shared" ref="T7:AB7" si="9">+S7*1.08</f>
        <v>458.92008000000004</v>
      </c>
      <c r="U7" s="3">
        <f t="shared" si="9"/>
        <v>495.6336864000001</v>
      </c>
      <c r="V7" s="3">
        <f t="shared" si="9"/>
        <v>535.28438131200016</v>
      </c>
      <c r="W7" s="3">
        <f t="shared" si="9"/>
        <v>578.10713181696019</v>
      </c>
      <c r="X7" s="3">
        <f t="shared" si="9"/>
        <v>624.35570236231706</v>
      </c>
      <c r="Y7" s="3">
        <f t="shared" si="9"/>
        <v>674.30415855130252</v>
      </c>
      <c r="Z7" s="3">
        <f t="shared" si="9"/>
        <v>728.24849123540673</v>
      </c>
      <c r="AA7" s="3">
        <f t="shared" si="9"/>
        <v>786.50837053423936</v>
      </c>
      <c r="AB7" s="3">
        <f t="shared" si="9"/>
        <v>849.42904017697856</v>
      </c>
      <c r="AC7" s="3">
        <f t="shared" ref="T7:AH7" si="10">+AB7*1.05</f>
        <v>891.90049218582749</v>
      </c>
      <c r="AD7" s="3">
        <f t="shared" si="10"/>
        <v>936.49551679511887</v>
      </c>
      <c r="AE7" s="3">
        <f t="shared" si="10"/>
        <v>983.32029263487482</v>
      </c>
      <c r="AF7" s="3">
        <f t="shared" si="10"/>
        <v>1032.4863072666185</v>
      </c>
      <c r="AG7" s="3">
        <f t="shared" si="10"/>
        <v>1084.1106226299494</v>
      </c>
      <c r="AH7" s="3">
        <f t="shared" si="10"/>
        <v>1138.3161537614469</v>
      </c>
    </row>
    <row r="8" spans="1:34" x14ac:dyDescent="0.2">
      <c r="A8" t="s">
        <v>21</v>
      </c>
      <c r="B8" s="3">
        <v>34.29</v>
      </c>
      <c r="C8" s="3">
        <v>36.228000000000002</v>
      </c>
      <c r="D8" s="3">
        <v>36.131</v>
      </c>
      <c r="E8" s="3">
        <v>36.911000000000001</v>
      </c>
      <c r="F8" s="3">
        <v>38.183</v>
      </c>
      <c r="G8" s="3">
        <v>37.844999999999999</v>
      </c>
      <c r="H8" s="3">
        <v>37.052</v>
      </c>
      <c r="I8" s="3">
        <v>40.082999999999998</v>
      </c>
      <c r="J8" s="3">
        <v>43.726999999999997</v>
      </c>
      <c r="O8" s="3">
        <v>101.687</v>
      </c>
      <c r="P8" s="3">
        <v>116.432</v>
      </c>
      <c r="Q8" s="3">
        <v>143.56</v>
      </c>
      <c r="R8" s="3">
        <v>153.16300000000001</v>
      </c>
      <c r="S8" s="3">
        <f>+S4*0.19</f>
        <v>171.483037</v>
      </c>
      <c r="T8" s="3">
        <f t="shared" ref="T8:AH8" si="11">+T4*0.19</f>
        <v>193.77583180999997</v>
      </c>
      <c r="U8" s="3">
        <f t="shared" si="11"/>
        <v>218.96668994529998</v>
      </c>
      <c r="V8" s="3">
        <f t="shared" si="11"/>
        <v>247.43235963818896</v>
      </c>
      <c r="W8" s="3">
        <f t="shared" si="11"/>
        <v>279.5985663911535</v>
      </c>
      <c r="X8" s="3">
        <f t="shared" si="11"/>
        <v>315.94638002200338</v>
      </c>
      <c r="Y8" s="3">
        <f t="shared" si="11"/>
        <v>357.0194094248638</v>
      </c>
      <c r="Z8" s="3">
        <f t="shared" si="11"/>
        <v>403.43193265009603</v>
      </c>
      <c r="AA8" s="3">
        <f t="shared" si="11"/>
        <v>455.87808389460855</v>
      </c>
      <c r="AB8" s="3">
        <f t="shared" si="11"/>
        <v>515.14223480090766</v>
      </c>
      <c r="AC8" s="3">
        <f>+AC4*0.15</f>
        <v>447.36036180078821</v>
      </c>
      <c r="AD8" s="3">
        <f t="shared" ref="AD8:AH8" si="12">+AD4*0.15</f>
        <v>492.0963979808671</v>
      </c>
      <c r="AE8" s="3">
        <f t="shared" si="12"/>
        <v>541.30603777895385</v>
      </c>
      <c r="AF8" s="3">
        <f t="shared" si="12"/>
        <v>595.43664155684928</v>
      </c>
      <c r="AG8" s="3">
        <f t="shared" si="12"/>
        <v>654.98030571253423</v>
      </c>
      <c r="AH8" s="3">
        <f t="shared" si="12"/>
        <v>720.47833628378783</v>
      </c>
    </row>
    <row r="9" spans="1:34" x14ac:dyDescent="0.2">
      <c r="A9" t="s">
        <v>22</v>
      </c>
      <c r="B9" s="3">
        <v>26.126000000000001</v>
      </c>
      <c r="C9" s="3">
        <v>26.87</v>
      </c>
      <c r="D9" s="3">
        <v>24.972999999999999</v>
      </c>
      <c r="E9" s="3">
        <v>25.257999999999999</v>
      </c>
      <c r="F9" s="3">
        <v>27.114999999999998</v>
      </c>
      <c r="G9" s="3">
        <v>26.622</v>
      </c>
      <c r="H9" s="3">
        <v>31.876999999999999</v>
      </c>
      <c r="I9" s="3">
        <v>30.567</v>
      </c>
      <c r="J9" s="3">
        <v>31.018000000000001</v>
      </c>
      <c r="O9" s="3">
        <v>73.135999999999996</v>
      </c>
      <c r="P9" s="3">
        <v>89.912000000000006</v>
      </c>
      <c r="Q9" s="3">
        <v>103.227</v>
      </c>
      <c r="R9" s="3">
        <v>116.181</v>
      </c>
      <c r="S9" s="3">
        <f>+R9*1.08</f>
        <v>125.47548</v>
      </c>
      <c r="T9" s="3">
        <f t="shared" ref="T9:AB9" si="13">+S9*1.08</f>
        <v>135.51351840000001</v>
      </c>
      <c r="U9" s="3">
        <f t="shared" si="13"/>
        <v>146.35459987200002</v>
      </c>
      <c r="V9" s="3">
        <f t="shared" si="13"/>
        <v>158.06296786176003</v>
      </c>
      <c r="W9" s="3">
        <f t="shared" si="13"/>
        <v>170.70800529070084</v>
      </c>
      <c r="X9" s="3">
        <f t="shared" si="13"/>
        <v>184.36464571395692</v>
      </c>
      <c r="Y9" s="3">
        <f t="shared" si="13"/>
        <v>199.11381737107348</v>
      </c>
      <c r="Z9" s="3">
        <f t="shared" si="13"/>
        <v>215.04292276075938</v>
      </c>
      <c r="AA9" s="3">
        <f t="shared" si="13"/>
        <v>232.24635658162015</v>
      </c>
      <c r="AB9" s="3">
        <f t="shared" si="13"/>
        <v>250.82606510814978</v>
      </c>
      <c r="AC9" s="3">
        <f>+AB9*1.05</f>
        <v>263.36736836355726</v>
      </c>
      <c r="AD9" s="3">
        <f t="shared" ref="AD9:AH9" si="14">+AC9*1.05</f>
        <v>276.53573678173512</v>
      </c>
      <c r="AE9" s="3">
        <f t="shared" si="14"/>
        <v>290.36252362082189</v>
      </c>
      <c r="AF9" s="3">
        <f t="shared" si="14"/>
        <v>304.880649801863</v>
      </c>
      <c r="AG9" s="3">
        <f t="shared" si="14"/>
        <v>320.12468229195616</v>
      </c>
      <c r="AH9" s="3">
        <f t="shared" si="14"/>
        <v>336.13091640655398</v>
      </c>
    </row>
    <row r="10" spans="1:34" x14ac:dyDescent="0.2">
      <c r="A10" t="s">
        <v>23</v>
      </c>
      <c r="B10" s="3">
        <f t="shared" ref="B10:I10" si="15">SUM(B7:B9)</f>
        <v>141.98599999999999</v>
      </c>
      <c r="C10" s="3">
        <f t="shared" si="15"/>
        <v>151.524</v>
      </c>
      <c r="D10" s="3">
        <f t="shared" si="15"/>
        <v>149.227</v>
      </c>
      <c r="E10" s="3">
        <f t="shared" si="15"/>
        <v>153.48000000000002</v>
      </c>
      <c r="F10" s="3">
        <f t="shared" si="15"/>
        <v>162.489</v>
      </c>
      <c r="G10" s="3">
        <f t="shared" si="15"/>
        <v>162.267</v>
      </c>
      <c r="H10" s="3">
        <f t="shared" si="15"/>
        <v>163.68800000000002</v>
      </c>
      <c r="I10" s="3">
        <f t="shared" si="15"/>
        <v>174.35000000000002</v>
      </c>
      <c r="J10" s="3">
        <f t="shared" ref="J10" si="16">SUM(J7:J9)</f>
        <v>174.57</v>
      </c>
      <c r="O10" s="3">
        <f>SUM(O7:O9)</f>
        <v>399.1</v>
      </c>
      <c r="P10" s="3">
        <f>SUM(P7:P9)</f>
        <v>476.50200000000007</v>
      </c>
      <c r="Q10" s="3">
        <f>SUM(Q7:Q9)</f>
        <v>596.21699999999998</v>
      </c>
      <c r="R10" s="3">
        <f>SUM(R7:R9)</f>
        <v>662.7940000000001</v>
      </c>
      <c r="S10" s="3">
        <f t="shared" ref="S10:AH10" si="17">SUM(S7:S9)</f>
        <v>721.88451699999996</v>
      </c>
      <c r="T10" s="3">
        <f t="shared" si="17"/>
        <v>788.20943020999994</v>
      </c>
      <c r="U10" s="3">
        <f t="shared" si="17"/>
        <v>860.9549762173001</v>
      </c>
      <c r="V10" s="3">
        <f t="shared" si="17"/>
        <v>940.77970881194915</v>
      </c>
      <c r="W10" s="3">
        <f t="shared" si="17"/>
        <v>1028.4137034988146</v>
      </c>
      <c r="X10" s="3">
        <f t="shared" si="17"/>
        <v>1124.6667280982774</v>
      </c>
      <c r="Y10" s="3">
        <f t="shared" si="17"/>
        <v>1230.4373853472398</v>
      </c>
      <c r="Z10" s="3">
        <f t="shared" si="17"/>
        <v>1346.7233466462621</v>
      </c>
      <c r="AA10" s="3">
        <f t="shared" si="17"/>
        <v>1474.632811010468</v>
      </c>
      <c r="AB10" s="3">
        <f t="shared" si="17"/>
        <v>1615.3973400860361</v>
      </c>
      <c r="AC10" s="3">
        <f t="shared" si="17"/>
        <v>1602.628222350173</v>
      </c>
      <c r="AD10" s="3">
        <f t="shared" si="17"/>
        <v>1705.127651557721</v>
      </c>
      <c r="AE10" s="3">
        <f t="shared" si="17"/>
        <v>1814.9888540346506</v>
      </c>
      <c r="AF10" s="3">
        <f t="shared" si="17"/>
        <v>1932.8035986253308</v>
      </c>
      <c r="AG10" s="3">
        <f t="shared" si="17"/>
        <v>2059.2156106344396</v>
      </c>
      <c r="AH10" s="3">
        <f t="shared" si="17"/>
        <v>2194.9254064517891</v>
      </c>
    </row>
    <row r="11" spans="1:34" s="8" customFormat="1" x14ac:dyDescent="0.2">
      <c r="A11" s="6" t="s">
        <v>24</v>
      </c>
      <c r="B11" s="7">
        <f t="shared" ref="B11:I11" si="18">+B6-B10</f>
        <v>-17.548000000000002</v>
      </c>
      <c r="C11" s="7">
        <f t="shared" si="18"/>
        <v>-23.22</v>
      </c>
      <c r="D11" s="7">
        <f t="shared" si="18"/>
        <v>-12.957999999999998</v>
      </c>
      <c r="E11" s="7">
        <f t="shared" si="18"/>
        <v>-14.089000000000027</v>
      </c>
      <c r="F11" s="7">
        <f t="shared" si="18"/>
        <v>-19.156000000000006</v>
      </c>
      <c r="G11" s="7">
        <f t="shared" si="18"/>
        <v>-10.745000000000005</v>
      </c>
      <c r="H11" s="7">
        <f t="shared" si="18"/>
        <v>-7.9130000000000109</v>
      </c>
      <c r="I11" s="7">
        <f t="shared" si="18"/>
        <v>-9.8470000000000084</v>
      </c>
      <c r="J11" s="7">
        <f t="shared" ref="J11" si="19">+J6-J10</f>
        <v>-7.5409999999999968</v>
      </c>
      <c r="O11" s="7">
        <f>+O6-O10</f>
        <v>-36.432999999999993</v>
      </c>
      <c r="P11" s="7">
        <f>+P6-P10</f>
        <v>-41.768000000000086</v>
      </c>
      <c r="Q11" s="7">
        <f>+Q6-Q10</f>
        <v>-67.814999999999941</v>
      </c>
      <c r="R11" s="7">
        <f>+R6-R10</f>
        <v>-47.661000000000058</v>
      </c>
      <c r="S11" s="7">
        <f t="shared" ref="S11:AH11" si="20">+S6-S10</f>
        <v>-21.276917000000026</v>
      </c>
      <c r="T11" s="7">
        <f t="shared" si="20"/>
        <v>9.5351987899998676</v>
      </c>
      <c r="U11" s="7">
        <f t="shared" si="20"/>
        <v>47.160299652699678</v>
      </c>
      <c r="V11" s="7">
        <f t="shared" si="20"/>
        <v>92.720782531150462</v>
      </c>
      <c r="W11" s="7">
        <f t="shared" si="20"/>
        <v>147.50510428988787</v>
      </c>
      <c r="X11" s="7">
        <f t="shared" si="20"/>
        <v>212.99110253105596</v>
      </c>
      <c r="Y11" s="7">
        <f t="shared" si="20"/>
        <v>290.87249887481676</v>
      </c>
      <c r="Z11" s="7">
        <f t="shared" si="20"/>
        <v>383.08901169666251</v>
      </c>
      <c r="AA11" s="7">
        <f t="shared" si="20"/>
        <v>491.86056200623784</v>
      </c>
      <c r="AB11" s="7">
        <f t="shared" si="20"/>
        <v>619.72612032096254</v>
      </c>
      <c r="AC11" s="7">
        <f t="shared" si="20"/>
        <v>783.29370725403078</v>
      </c>
      <c r="AD11" s="7">
        <f t="shared" si="20"/>
        <v>931.31608065492446</v>
      </c>
      <c r="AE11" s="7">
        <f t="shared" si="20"/>
        <v>1097.9832298191222</v>
      </c>
      <c r="AF11" s="7">
        <f t="shared" si="20"/>
        <v>1285.3803903072717</v>
      </c>
      <c r="AG11" s="7">
        <f t="shared" si="20"/>
        <v>1495.8146496203508</v>
      </c>
      <c r="AH11" s="7">
        <f t="shared" si="20"/>
        <v>1731.8379820517234</v>
      </c>
    </row>
    <row r="12" spans="1:34" x14ac:dyDescent="0.2">
      <c r="A12" t="s">
        <v>25</v>
      </c>
      <c r="B12" s="3">
        <v>0.25</v>
      </c>
      <c r="C12" s="3">
        <v>0.69299999999999995</v>
      </c>
      <c r="D12" s="3">
        <v>1.8029999999999999</v>
      </c>
      <c r="E12" s="3">
        <v>3.5379999999999998</v>
      </c>
      <c r="F12" s="3">
        <v>5.0949999999999998</v>
      </c>
      <c r="G12" s="3">
        <v>6.5659999999999998</v>
      </c>
      <c r="H12" s="3">
        <v>7.6619999999999999</v>
      </c>
      <c r="I12" s="3">
        <v>5.3769999999999998</v>
      </c>
      <c r="J12" s="3">
        <v>5.6239999999999997</v>
      </c>
      <c r="O12" s="3">
        <v>1.244</v>
      </c>
      <c r="P12" s="3">
        <v>0</v>
      </c>
      <c r="Q12" s="3">
        <v>6.2839999999999998</v>
      </c>
      <c r="R12" s="3">
        <v>24.7</v>
      </c>
      <c r="S12" s="3">
        <f>+R29*0.01+R12</f>
        <v>25.846909999999998</v>
      </c>
      <c r="T12" s="3">
        <f t="shared" ref="T12:AH12" si="21">+S29*0.01+S12</f>
        <v>27.023819999999997</v>
      </c>
      <c r="U12" s="3">
        <f t="shared" si="21"/>
        <v>28.069837216084995</v>
      </c>
      <c r="V12" s="3">
        <f t="shared" si="21"/>
        <v>29.313812095554663</v>
      </c>
      <c r="W12" s="3">
        <f t="shared" si="21"/>
        <v>31.119582529351327</v>
      </c>
      <c r="X12" s="3">
        <f t="shared" si="21"/>
        <v>33.934164301111522</v>
      </c>
      <c r="Y12" s="3">
        <f t="shared" si="21"/>
        <v>38.304112340945139</v>
      </c>
      <c r="Z12" s="3">
        <f t="shared" si="21"/>
        <v>44.894563076112732</v>
      </c>
      <c r="AA12" s="3">
        <f t="shared" si="21"/>
        <v>54.511375696848916</v>
      </c>
      <c r="AB12" s="3">
        <f t="shared" si="21"/>
        <v>68.126851288061332</v>
      </c>
      <c r="AC12" s="3">
        <f t="shared" si="21"/>
        <v>86.90957863795046</v>
      </c>
      <c r="AD12" s="3">
        <f t="shared" si="21"/>
        <v>112.37553541792143</v>
      </c>
      <c r="AE12" s="3">
        <f t="shared" si="21"/>
        <v>145.96537243451158</v>
      </c>
      <c r="AF12" s="3">
        <f t="shared" si="21"/>
        <v>189.34727407025764</v>
      </c>
      <c r="AG12" s="3">
        <f t="shared" si="21"/>
        <v>244.44886235321269</v>
      </c>
      <c r="AH12" s="3">
        <f t="shared" si="21"/>
        <v>313.49319198794302</v>
      </c>
    </row>
    <row r="13" spans="1:34" x14ac:dyDescent="0.2">
      <c r="A13" t="s">
        <v>35</v>
      </c>
      <c r="B13" s="3">
        <v>-3.5760000000000001</v>
      </c>
      <c r="C13" s="3">
        <v>-3.5880000000000001</v>
      </c>
      <c r="D13" s="3">
        <v>-5.0819999999999999</v>
      </c>
      <c r="E13" s="3">
        <v>6.7549999999999999</v>
      </c>
      <c r="F13" s="3">
        <v>-7.3390000000000004</v>
      </c>
      <c r="G13" s="3">
        <v>-7.75</v>
      </c>
      <c r="H13" s="3">
        <v>-8.1189999999999998</v>
      </c>
      <c r="I13" s="3">
        <v>8.1310000000000002</v>
      </c>
      <c r="J13" s="3">
        <v>-8.1120000000000001</v>
      </c>
      <c r="O13" s="3">
        <v>0</v>
      </c>
      <c r="P13" s="3">
        <v>-7.5019999999999998</v>
      </c>
      <c r="Q13" s="3">
        <v>-19.001000000000001</v>
      </c>
      <c r="R13" s="3">
        <v>-31.338999999999999</v>
      </c>
      <c r="S13" s="3">
        <v>-31.338999999999999</v>
      </c>
      <c r="T13" s="3">
        <v>-31.338999999999999</v>
      </c>
      <c r="U13" s="3">
        <v>-31.338999999999999</v>
      </c>
      <c r="V13" s="3">
        <v>-31.338999999999999</v>
      </c>
      <c r="W13" s="3">
        <v>-31.338999999999999</v>
      </c>
      <c r="X13" s="3">
        <v>-31.338999999999999</v>
      </c>
      <c r="Y13" s="3">
        <v>-31.338999999999999</v>
      </c>
      <c r="Z13" s="3">
        <v>-31.338999999999999</v>
      </c>
      <c r="AA13" s="3">
        <v>-31.338999999999999</v>
      </c>
      <c r="AB13" s="3">
        <v>-31.338999999999999</v>
      </c>
      <c r="AC13" s="3">
        <v>-31.338999999999999</v>
      </c>
      <c r="AD13" s="3">
        <v>-31.338999999999999</v>
      </c>
      <c r="AE13" s="3">
        <v>-31.338999999999999</v>
      </c>
      <c r="AF13" s="3">
        <v>-31.338999999999999</v>
      </c>
      <c r="AG13" s="3">
        <v>-31.338999999999999</v>
      </c>
      <c r="AH13" s="3">
        <v>-31.338999999999999</v>
      </c>
    </row>
    <row r="14" spans="1:34" x14ac:dyDescent="0.2">
      <c r="A14" t="s">
        <v>34</v>
      </c>
      <c r="B14" s="3">
        <v>-0.94399999999999995</v>
      </c>
      <c r="C14" s="3">
        <v>-1.863</v>
      </c>
      <c r="D14" s="3">
        <v>2.073</v>
      </c>
      <c r="E14" s="3">
        <v>0.123</v>
      </c>
      <c r="F14" s="3">
        <v>-0.54700000000000004</v>
      </c>
      <c r="G14" s="3">
        <v>-0.94399999999999995</v>
      </c>
      <c r="H14" s="3">
        <v>-6.5019999999999998</v>
      </c>
      <c r="I14" s="3">
        <v>-0.60899999999999999</v>
      </c>
      <c r="J14" s="3">
        <v>-1.31</v>
      </c>
      <c r="O14" s="3">
        <v>-1.885</v>
      </c>
      <c r="P14" s="3">
        <v>-1.9650000000000001</v>
      </c>
      <c r="Q14" s="3">
        <v>-4.7569999999999997</v>
      </c>
      <c r="R14" s="3">
        <v>-8.6020000000000003</v>
      </c>
      <c r="S14" s="3">
        <f>+R14-4</f>
        <v>-12.602</v>
      </c>
      <c r="T14" s="3">
        <f t="shared" ref="T14:AH14" si="22">+S14-4</f>
        <v>-16.602</v>
      </c>
      <c r="U14" s="3">
        <f t="shared" si="22"/>
        <v>-20.602</v>
      </c>
      <c r="V14" s="3">
        <f t="shared" si="22"/>
        <v>-24.602</v>
      </c>
      <c r="W14" s="3">
        <f t="shared" si="22"/>
        <v>-28.602</v>
      </c>
      <c r="X14" s="3">
        <f t="shared" si="22"/>
        <v>-32.602000000000004</v>
      </c>
      <c r="Y14" s="3">
        <f t="shared" si="22"/>
        <v>-36.602000000000004</v>
      </c>
      <c r="Z14" s="3">
        <f t="shared" si="22"/>
        <v>-40.602000000000004</v>
      </c>
      <c r="AA14" s="3">
        <f t="shared" si="22"/>
        <v>-44.602000000000004</v>
      </c>
      <c r="AB14" s="3">
        <f t="shared" si="22"/>
        <v>-48.602000000000004</v>
      </c>
      <c r="AC14" s="3">
        <f t="shared" si="22"/>
        <v>-52.602000000000004</v>
      </c>
      <c r="AD14" s="3">
        <f t="shared" si="22"/>
        <v>-56.602000000000004</v>
      </c>
      <c r="AE14" s="3">
        <f t="shared" si="22"/>
        <v>-60.602000000000004</v>
      </c>
      <c r="AF14" s="3">
        <f t="shared" si="22"/>
        <v>-64.602000000000004</v>
      </c>
      <c r="AG14" s="3">
        <f t="shared" si="22"/>
        <v>-68.602000000000004</v>
      </c>
      <c r="AH14" s="3">
        <f t="shared" si="22"/>
        <v>-72.602000000000004</v>
      </c>
    </row>
    <row r="15" spans="1:34" x14ac:dyDescent="0.2">
      <c r="A15" t="s">
        <v>26</v>
      </c>
      <c r="B15" s="3">
        <f t="shared" ref="B15:I15" si="23">+B11+SUM(B12:B14)</f>
        <v>-21.818000000000001</v>
      </c>
      <c r="C15" s="3">
        <f t="shared" si="23"/>
        <v>-27.977999999999998</v>
      </c>
      <c r="D15" s="3">
        <f t="shared" si="23"/>
        <v>-14.163999999999998</v>
      </c>
      <c r="E15" s="3">
        <f t="shared" si="23"/>
        <v>-3.6730000000000285</v>
      </c>
      <c r="F15" s="3">
        <f t="shared" si="23"/>
        <v>-21.947000000000006</v>
      </c>
      <c r="G15" s="3">
        <f t="shared" si="23"/>
        <v>-12.873000000000005</v>
      </c>
      <c r="H15" s="3">
        <f t="shared" si="23"/>
        <v>-14.872000000000011</v>
      </c>
      <c r="I15" s="3">
        <f t="shared" si="23"/>
        <v>3.0519999999999907</v>
      </c>
      <c r="J15" s="3">
        <f>+J11+SUM(J12:J14)</f>
        <v>-11.338999999999997</v>
      </c>
      <c r="O15" s="3">
        <f t="shared" ref="O15:R15" si="24">+O11+SUM(O12:O14)</f>
        <v>-37.073999999999991</v>
      </c>
      <c r="P15" s="3">
        <f t="shared" si="24"/>
        <v>-51.235000000000085</v>
      </c>
      <c r="Q15" s="3">
        <f t="shared" si="24"/>
        <v>-85.288999999999945</v>
      </c>
      <c r="R15" s="3">
        <f t="shared" si="24"/>
        <v>-62.902000000000058</v>
      </c>
      <c r="S15" s="3">
        <f t="shared" ref="S15" si="25">+S11+SUM(S12:S14)</f>
        <v>-39.371007000000027</v>
      </c>
      <c r="T15" s="3">
        <f t="shared" ref="T15" si="26">+T11+SUM(T12:T14)</f>
        <v>-11.381981210000134</v>
      </c>
      <c r="U15" s="3">
        <f t="shared" ref="U15" si="27">+U11+SUM(U12:U14)</f>
        <v>23.289136868784674</v>
      </c>
      <c r="V15" s="3">
        <f t="shared" ref="V15" si="28">+V11+SUM(V12:V14)</f>
        <v>66.093594626705126</v>
      </c>
      <c r="W15" s="3">
        <f t="shared" ref="W15" si="29">+W11+SUM(W12:W14)</f>
        <v>118.6836868192392</v>
      </c>
      <c r="X15" s="3">
        <f t="shared" ref="X15" si="30">+X11+SUM(X12:X14)</f>
        <v>182.98426683216746</v>
      </c>
      <c r="Y15" s="3">
        <f t="shared" ref="Y15" si="31">+Y11+SUM(Y12:Y14)</f>
        <v>261.23561121576188</v>
      </c>
      <c r="Z15" s="3">
        <f t="shared" ref="Z15" si="32">+Z11+SUM(Z12:Z14)</f>
        <v>356.04257477277525</v>
      </c>
      <c r="AA15" s="3">
        <f t="shared" ref="AA15" si="33">+AA11+SUM(AA12:AA14)</f>
        <v>470.43093770308678</v>
      </c>
      <c r="AB15" s="3">
        <f t="shared" ref="AB15" si="34">+AB11+SUM(AB12:AB14)</f>
        <v>607.91197160902391</v>
      </c>
      <c r="AC15" s="3">
        <f t="shared" ref="AC15" si="35">+AC11+SUM(AC12:AC14)</f>
        <v>786.26228589198126</v>
      </c>
      <c r="AD15" s="3">
        <f t="shared" ref="AD15" si="36">+AD11+SUM(AD12:AD14)</f>
        <v>955.7506160728459</v>
      </c>
      <c r="AE15" s="3">
        <f t="shared" ref="AE15" si="37">+AE11+SUM(AE12:AE14)</f>
        <v>1152.0076022536339</v>
      </c>
      <c r="AF15" s="3">
        <f t="shared" ref="AF15" si="38">+AF11+SUM(AF12:AF14)</f>
        <v>1378.7866643775294</v>
      </c>
      <c r="AG15" s="3">
        <f t="shared" ref="AG15" si="39">+AG11+SUM(AG12:AG14)</f>
        <v>1640.3225119735635</v>
      </c>
      <c r="AH15" s="3">
        <f t="shared" ref="AH15" si="40">+AH11+SUM(AH12:AH14)</f>
        <v>1941.3901740396664</v>
      </c>
    </row>
    <row r="16" spans="1:34" x14ac:dyDescent="0.2">
      <c r="A16" t="s">
        <v>27</v>
      </c>
      <c r="B16" s="3">
        <v>2.6880000000000002</v>
      </c>
      <c r="C16" s="3">
        <v>-0.47899999999999998</v>
      </c>
      <c r="D16" s="3">
        <v>0.69299999999999995</v>
      </c>
      <c r="E16" s="3">
        <v>4.3040000000000003</v>
      </c>
      <c r="F16" s="3">
        <v>3.15</v>
      </c>
      <c r="G16" s="3">
        <v>3.101</v>
      </c>
      <c r="H16" s="3">
        <v>0.69299999999999995</v>
      </c>
      <c r="I16" s="3">
        <v>3.9390000000000001</v>
      </c>
      <c r="J16" s="3">
        <v>1.6579999999999999</v>
      </c>
      <c r="O16" s="3">
        <v>5.657</v>
      </c>
      <c r="P16" s="3">
        <v>-3.952</v>
      </c>
      <c r="Q16" s="3">
        <v>6.9329999999999998</v>
      </c>
      <c r="R16" s="3">
        <v>10.882999999999999</v>
      </c>
      <c r="S16" s="3">
        <f>+S15*-0.15</f>
        <v>5.9056510500000039</v>
      </c>
      <c r="T16" s="3">
        <f>+T15*-0.15</f>
        <v>1.7072971815000202</v>
      </c>
      <c r="U16" s="3">
        <f>+U15*0.15</f>
        <v>3.493370530317701</v>
      </c>
      <c r="V16" s="3">
        <f t="shared" ref="V16:AH16" si="41">+V15*0.15</f>
        <v>9.9140391940057686</v>
      </c>
      <c r="W16" s="3">
        <f t="shared" si="41"/>
        <v>17.802553022885878</v>
      </c>
      <c r="X16" s="3">
        <f t="shared" si="41"/>
        <v>27.44764002482512</v>
      </c>
      <c r="Y16" s="3">
        <f t="shared" si="41"/>
        <v>39.185341682364282</v>
      </c>
      <c r="Z16" s="3">
        <f t="shared" si="41"/>
        <v>53.406386215916285</v>
      </c>
      <c r="AA16" s="3">
        <f t="shared" si="41"/>
        <v>70.564640655463009</v>
      </c>
      <c r="AB16" s="3">
        <f t="shared" si="41"/>
        <v>91.186795741353578</v>
      </c>
      <c r="AC16" s="3">
        <f t="shared" si="41"/>
        <v>117.93934288379718</v>
      </c>
      <c r="AD16" s="3">
        <f t="shared" si="41"/>
        <v>143.36259241092688</v>
      </c>
      <c r="AE16" s="3">
        <f t="shared" si="41"/>
        <v>172.80114033804509</v>
      </c>
      <c r="AF16" s="3">
        <f t="shared" si="41"/>
        <v>206.81799965662941</v>
      </c>
      <c r="AG16" s="3">
        <f t="shared" si="41"/>
        <v>246.04837679603452</v>
      </c>
      <c r="AH16" s="3">
        <f t="shared" si="41"/>
        <v>291.20852610594994</v>
      </c>
    </row>
    <row r="17" spans="1:134" s="8" customFormat="1" x14ac:dyDescent="0.2">
      <c r="A17" s="6" t="s">
        <v>28</v>
      </c>
      <c r="B17" s="7">
        <f t="shared" ref="B17:I17" si="42">+B15-B16</f>
        <v>-24.506</v>
      </c>
      <c r="C17" s="7">
        <f t="shared" si="42"/>
        <v>-27.498999999999999</v>
      </c>
      <c r="D17" s="7">
        <f t="shared" si="42"/>
        <v>-14.856999999999998</v>
      </c>
      <c r="E17" s="7">
        <f t="shared" si="42"/>
        <v>-7.9770000000000287</v>
      </c>
      <c r="F17" s="7">
        <f t="shared" si="42"/>
        <v>-25.097000000000005</v>
      </c>
      <c r="G17" s="7">
        <f t="shared" si="42"/>
        <v>-15.974000000000004</v>
      </c>
      <c r="H17" s="7">
        <f t="shared" si="42"/>
        <v>-15.56500000000001</v>
      </c>
      <c r="I17" s="7">
        <f t="shared" si="42"/>
        <v>-0.88700000000000934</v>
      </c>
      <c r="J17" s="7">
        <f t="shared" ref="J17" si="43">+J15-J16</f>
        <v>-12.996999999999996</v>
      </c>
      <c r="O17" s="7">
        <f>+O15-O16</f>
        <v>-42.730999999999995</v>
      </c>
      <c r="P17" s="7">
        <f>+P15-P16</f>
        <v>-47.283000000000087</v>
      </c>
      <c r="Q17" s="7">
        <f>+Q15-Q16</f>
        <v>-92.221999999999952</v>
      </c>
      <c r="R17" s="7">
        <f>+R15-R16</f>
        <v>-73.785000000000053</v>
      </c>
      <c r="S17" s="7">
        <v>3</v>
      </c>
      <c r="T17" s="7">
        <f t="shared" ref="T17:AH17" si="44">+T15-T16</f>
        <v>-13.089278391500155</v>
      </c>
      <c r="U17" s="7">
        <f t="shared" si="44"/>
        <v>19.795766338466972</v>
      </c>
      <c r="V17" s="7">
        <f t="shared" si="44"/>
        <v>56.17955543269936</v>
      </c>
      <c r="W17" s="7">
        <f t="shared" si="44"/>
        <v>100.88113379635332</v>
      </c>
      <c r="X17" s="7">
        <f t="shared" si="44"/>
        <v>155.53662680734234</v>
      </c>
      <c r="Y17" s="7">
        <f t="shared" si="44"/>
        <v>222.0502695333976</v>
      </c>
      <c r="Z17" s="7">
        <f t="shared" si="44"/>
        <v>302.636188556859</v>
      </c>
      <c r="AA17" s="7">
        <f t="shared" si="44"/>
        <v>399.86629704762379</v>
      </c>
      <c r="AB17" s="7">
        <f t="shared" si="44"/>
        <v>516.72517586767037</v>
      </c>
      <c r="AC17" s="7">
        <f t="shared" si="44"/>
        <v>668.3229430081841</v>
      </c>
      <c r="AD17" s="7">
        <f t="shared" si="44"/>
        <v>812.38802366191908</v>
      </c>
      <c r="AE17" s="7">
        <f t="shared" si="44"/>
        <v>979.20646191558876</v>
      </c>
      <c r="AF17" s="7">
        <f t="shared" si="44"/>
        <v>1171.9686647209001</v>
      </c>
      <c r="AG17" s="7">
        <f t="shared" si="44"/>
        <v>1394.2741351775289</v>
      </c>
      <c r="AH17" s="7">
        <f t="shared" si="44"/>
        <v>1650.1816479337165</v>
      </c>
      <c r="AI17" s="7">
        <f>+AH17*(1+$AK$21)</f>
        <v>1600.676198495705</v>
      </c>
      <c r="AJ17" s="7">
        <f>+AI17*(1+$AK$21)</f>
        <v>1552.6559125408337</v>
      </c>
      <c r="AK17" s="7">
        <f>+AJ17*(1+$AK$21)</f>
        <v>1506.0762351646085</v>
      </c>
      <c r="AL17" s="7">
        <f>+AK17*(1+$AK$21)</f>
        <v>1460.8939481096702</v>
      </c>
      <c r="AM17" s="7">
        <f>+AL17*(1+$AK$21)</f>
        <v>1417.06712966638</v>
      </c>
      <c r="AN17" s="7">
        <f>+AM17*(1+$AK$21)</f>
        <v>1374.5551157763884</v>
      </c>
      <c r="AO17" s="7">
        <f>+AN17*(1+$AK$21)</f>
        <v>1333.3184623030968</v>
      </c>
      <c r="AP17" s="7">
        <f>+AO17*(1+$AK$21)</f>
        <v>1293.3189084340038</v>
      </c>
      <c r="AQ17" s="7">
        <f>+AP17*(1+$AK$21)</f>
        <v>1254.5193411809837</v>
      </c>
      <c r="AR17" s="7">
        <f>+AQ17*(1+$AK$21)</f>
        <v>1216.8837609455541</v>
      </c>
      <c r="AS17" s="7">
        <f>+AR17*(1+$AK$21)</f>
        <v>1180.3772481171875</v>
      </c>
      <c r="AT17" s="7">
        <f>+AS17*(1+$AK$21)</f>
        <v>1144.9659306736719</v>
      </c>
      <c r="AU17" s="7">
        <f>+AT17*(1+$AK$21)</f>
        <v>1110.6169527534616</v>
      </c>
      <c r="AV17" s="7">
        <f>+AU17*(1+$AK$21)</f>
        <v>1077.2984441708577</v>
      </c>
      <c r="AW17" s="7">
        <f>+AV17*(1+$AK$21)</f>
        <v>1044.979490845732</v>
      </c>
      <c r="AX17" s="7">
        <f>+AW17*(1+$AK$21)</f>
        <v>1013.63010612036</v>
      </c>
      <c r="AY17" s="7">
        <f>+AX17*(1+$AK$21)</f>
        <v>983.22120293674914</v>
      </c>
      <c r="AZ17" s="7">
        <f>+AY17*(1+$AK$21)</f>
        <v>953.72456684864665</v>
      </c>
      <c r="BA17" s="7">
        <f>+AZ17*(1+$AK$21)</f>
        <v>925.11282984318723</v>
      </c>
      <c r="BB17" s="7">
        <f>+BA17*(1+$AK$21)</f>
        <v>897.35944494789157</v>
      </c>
      <c r="BC17" s="7">
        <f>+BB17*(1+$AK$21)</f>
        <v>870.4386615994548</v>
      </c>
      <c r="BD17" s="7">
        <f>+BC17*(1+$AK$21)</f>
        <v>844.32550175147117</v>
      </c>
      <c r="BE17" s="7">
        <f>+BD17*(1+$AK$21)</f>
        <v>818.99573669892698</v>
      </c>
      <c r="BF17" s="7">
        <f>+BE17*(1+$AK$21)</f>
        <v>794.42586459795916</v>
      </c>
      <c r="BG17" s="7">
        <f>+BF17*(1+$AK$21)</f>
        <v>770.59308866002038</v>
      </c>
      <c r="BH17" s="7">
        <f>+BG17*(1+$AK$21)</f>
        <v>747.47529600021971</v>
      </c>
      <c r="BI17" s="7">
        <f>+BH17*(1+$AK$21)</f>
        <v>725.0510371202131</v>
      </c>
      <c r="BJ17" s="7">
        <f>+BI17*(1+$AK$21)</f>
        <v>703.29950600660663</v>
      </c>
      <c r="BK17" s="7">
        <f>+BJ17*(1+$AK$21)</f>
        <v>682.20052082640836</v>
      </c>
      <c r="BL17" s="7">
        <f>+BK17*(1+$AK$21)</f>
        <v>661.73450520161612</v>
      </c>
      <c r="BM17" s="7">
        <f>+BL17*(1+$AK$21)</f>
        <v>641.88247004556763</v>
      </c>
      <c r="BN17" s="7">
        <f>+BM17*(1+$AK$21)</f>
        <v>622.62599594420055</v>
      </c>
      <c r="BO17" s="7">
        <f>+BN17*(1+$AK$21)</f>
        <v>603.9472160658745</v>
      </c>
      <c r="BP17" s="7">
        <f>+BO17*(1+$AK$21)</f>
        <v>585.82879958389822</v>
      </c>
      <c r="BQ17" s="7">
        <f>+BP17*(1+$AK$21)</f>
        <v>568.25393559638121</v>
      </c>
      <c r="BR17" s="7">
        <f>+BQ17*(1+$AK$21)</f>
        <v>551.20631752848976</v>
      </c>
      <c r="BS17" s="7">
        <f>+BR17*(1+$AK$21)</f>
        <v>534.67012800263501</v>
      </c>
      <c r="BT17" s="7">
        <f>+BS17*(1+$AK$21)</f>
        <v>518.63002416255597</v>
      </c>
      <c r="BU17" s="7">
        <f>+BT17*(1+$AK$21)</f>
        <v>503.07112343767926</v>
      </c>
      <c r="BV17" s="7">
        <f>+BU17*(1+$AK$21)</f>
        <v>487.97898973454886</v>
      </c>
      <c r="BW17" s="7">
        <f>+BV17*(1+$AK$21)</f>
        <v>473.33962004251237</v>
      </c>
      <c r="BX17" s="7">
        <f>+BW17*(1+$AK$21)</f>
        <v>459.13943144123698</v>
      </c>
      <c r="BY17" s="7">
        <f>+BX17*(1+$AK$21)</f>
        <v>445.36524849799986</v>
      </c>
      <c r="BZ17" s="7">
        <f>+BY17*(1+$AK$21)</f>
        <v>432.00429104305982</v>
      </c>
      <c r="CA17" s="7">
        <f>+BZ17*(1+$AK$21)</f>
        <v>419.04416231176799</v>
      </c>
      <c r="CB17" s="7">
        <f>+CA17*(1+$AK$21)</f>
        <v>406.47283744241491</v>
      </c>
      <c r="CC17" s="7">
        <f>+CB17*(1+$AK$21)</f>
        <v>394.27865231914245</v>
      </c>
      <c r="CD17" s="7">
        <f>+CC17*(1+$AK$21)</f>
        <v>382.45029274956818</v>
      </c>
      <c r="CE17" s="7">
        <f>+CD17*(1+$AK$21)</f>
        <v>370.97678396708113</v>
      </c>
      <c r="CF17" s="7">
        <f>+CE17*(1+$AK$21)</f>
        <v>359.84748044806867</v>
      </c>
      <c r="CG17" s="7">
        <f>+CF17*(1+$AK$21)</f>
        <v>349.05205603462662</v>
      </c>
      <c r="CH17" s="7">
        <f>+CG17*(1+$AK$21)</f>
        <v>338.58049435358782</v>
      </c>
      <c r="CI17" s="7">
        <f>+CH17*(1+$AK$21)</f>
        <v>328.42307952298017</v>
      </c>
      <c r="CJ17" s="7">
        <f>+CI17*(1+$AK$21)</f>
        <v>318.57038713729077</v>
      </c>
      <c r="CK17" s="7">
        <f>+CJ17*(1+$AK$21)</f>
        <v>309.01327552317201</v>
      </c>
      <c r="CL17" s="7">
        <f>+CK17*(1+$AK$21)</f>
        <v>299.74287725747683</v>
      </c>
      <c r="CM17" s="7">
        <f>+CL17*(1+$AK$21)</f>
        <v>290.7505909397525</v>
      </c>
      <c r="CN17" s="7">
        <f>+CM17*(1+$AK$21)</f>
        <v>282.0280732115599</v>
      </c>
      <c r="CO17" s="7">
        <f>+CN17*(1+$AK$21)</f>
        <v>273.56723101521311</v>
      </c>
      <c r="CP17" s="7">
        <f>+CO17*(1+$AK$21)</f>
        <v>265.36021408475671</v>
      </c>
      <c r="CQ17" s="7">
        <f>+CP17*(1+$AK$21)</f>
        <v>257.399407662214</v>
      </c>
      <c r="CR17" s="7">
        <f>+CQ17*(1+$AK$21)</f>
        <v>249.67742543234758</v>
      </c>
      <c r="CS17" s="7">
        <f>+CR17*(1+$AK$21)</f>
        <v>242.18710266937714</v>
      </c>
      <c r="CT17" s="7">
        <f>+CS17*(1+$AK$21)</f>
        <v>234.92148958929582</v>
      </c>
      <c r="CU17" s="7">
        <f>+CT17*(1+$AK$21)</f>
        <v>227.87384490161693</v>
      </c>
      <c r="CV17" s="7">
        <f>+CU17*(1+$AK$21)</f>
        <v>221.03762955456841</v>
      </c>
      <c r="CW17" s="7">
        <f>+CV17*(1+$AK$21)</f>
        <v>214.40650066793134</v>
      </c>
      <c r="CX17" s="7">
        <f>+CW17*(1+$AK$21)</f>
        <v>207.9743056478934</v>
      </c>
      <c r="CY17" s="7">
        <f>+CX17*(1+$AK$21)</f>
        <v>201.73507647845659</v>
      </c>
      <c r="CZ17" s="7">
        <f>+CY17*(1+$AK$21)</f>
        <v>195.68302418410289</v>
      </c>
      <c r="DA17" s="7">
        <f>+CZ17*(1+$AK$21)</f>
        <v>189.81253345857979</v>
      </c>
      <c r="DB17" s="7">
        <f>+DA17*(1+$AK$21)</f>
        <v>184.11815745482238</v>
      </c>
      <c r="DC17" s="7">
        <f>+DB17*(1+$AK$21)</f>
        <v>178.5946127311777</v>
      </c>
      <c r="DD17" s="7">
        <f>+DC17*(1+$AK$21)</f>
        <v>173.23677434924238</v>
      </c>
      <c r="DE17" s="7">
        <f>+DD17*(1+$AK$21)</f>
        <v>168.03967111876511</v>
      </c>
      <c r="DF17" s="7">
        <f>+DE17*(1+$AK$21)</f>
        <v>162.99848098520215</v>
      </c>
      <c r="DG17" s="7">
        <f>+DF17*(1+$AK$21)</f>
        <v>158.10852655564608</v>
      </c>
      <c r="DH17" s="7">
        <f>+DG17*(1+$AK$21)</f>
        <v>153.36527075897669</v>
      </c>
      <c r="DI17" s="7">
        <f>+DH17*(1+$AK$21)</f>
        <v>148.76431263620739</v>
      </c>
      <c r="DJ17" s="7">
        <f>+DI17*(1+$AK$21)</f>
        <v>144.30138325712116</v>
      </c>
      <c r="DK17" s="7">
        <f>+DJ17*(1+$AK$21)</f>
        <v>139.97234175940753</v>
      </c>
      <c r="DL17" s="7">
        <f>+DK17*(1+$AK$21)</f>
        <v>135.77317150662529</v>
      </c>
      <c r="DM17" s="7">
        <f>+DL17*(1+$AK$21)</f>
        <v>131.69997636142654</v>
      </c>
      <c r="DN17" s="7">
        <f>+DM17*(1+$AK$21)</f>
        <v>127.74897707058373</v>
      </c>
      <c r="DO17" s="7">
        <f>+DN17*(1+$AK$21)</f>
        <v>123.91650775846622</v>
      </c>
      <c r="DP17" s="7">
        <f>+DO17*(1+$AK$21)</f>
        <v>120.19901252571223</v>
      </c>
      <c r="DQ17" s="7">
        <f>+DP17*(1+$AK$21)</f>
        <v>116.59304214994087</v>
      </c>
      <c r="DR17" s="7">
        <f>+DQ17*(1+$AK$21)</f>
        <v>113.09525088544264</v>
      </c>
      <c r="DS17" s="7">
        <f>+DR17*(1+$AK$21)</f>
        <v>109.70239335887936</v>
      </c>
      <c r="DT17" s="7">
        <f>+DS17*(1+$AK$21)</f>
        <v>106.41132155811297</v>
      </c>
      <c r="DU17" s="7">
        <f>+DT17*(1+$AK$21)</f>
        <v>103.21898191136958</v>
      </c>
      <c r="DV17" s="7">
        <f>+DU17*(1+$AK$21)</f>
        <v>100.12241245402849</v>
      </c>
      <c r="DW17" s="7">
        <f>+DV17*(1+$AK$21)</f>
        <v>97.118740080407633</v>
      </c>
      <c r="DX17" s="7">
        <f>+DW17*(1+$AK$21)</f>
        <v>94.205177877995396</v>
      </c>
      <c r="DY17" s="7">
        <f>+DX17*(1+$AK$21)</f>
        <v>91.37902254165553</v>
      </c>
      <c r="DZ17" s="7">
        <f>+DY17*(1+$AK$21)</f>
        <v>88.637651865405857</v>
      </c>
      <c r="EA17" s="7">
        <f>+DZ17*(1+$AK$21)</f>
        <v>85.978522309443676</v>
      </c>
      <c r="EB17" s="7">
        <f>+EA17*(1+$AK$21)</f>
        <v>83.39916664016036</v>
      </c>
      <c r="EC17" s="7">
        <f>+EB17*(1+$AK$21)</f>
        <v>80.89719164095554</v>
      </c>
      <c r="ED17" s="7">
        <f>+EC17*(1+$AK$21)</f>
        <v>78.470275891726871</v>
      </c>
    </row>
    <row r="18" spans="1:134" x14ac:dyDescent="0.2">
      <c r="A18" t="s">
        <v>29</v>
      </c>
      <c r="B18" s="10">
        <f t="shared" ref="B18:I18" si="45">+B17/B19</f>
        <v>-0.22375004565209453</v>
      </c>
      <c r="C18" s="10">
        <f t="shared" si="45"/>
        <v>-0.24764726542448284</v>
      </c>
      <c r="D18" s="10">
        <f t="shared" si="45"/>
        <v>-0.13272644433922651</v>
      </c>
      <c r="E18" s="10">
        <f t="shared" si="45"/>
        <v>-7.0754465948803719E-2</v>
      </c>
      <c r="F18" s="10">
        <f t="shared" si="45"/>
        <v>-0.22055347083688523</v>
      </c>
      <c r="G18" s="10">
        <f t="shared" si="45"/>
        <v>-0.13874629769566846</v>
      </c>
      <c r="H18" s="10">
        <f t="shared" si="45"/>
        <v>-0.13423426531210661</v>
      </c>
      <c r="I18" s="10">
        <f t="shared" si="45"/>
        <v>-7.5995784675754975E-3</v>
      </c>
      <c r="J18" s="10">
        <f t="shared" ref="J18" si="46">+J17/J19</f>
        <v>-0.11057324190502116</v>
      </c>
      <c r="O18" s="10">
        <f>+O17/O19</f>
        <v>-0.42304151115247152</v>
      </c>
      <c r="P18" s="10">
        <f>+P17/P19</f>
        <v>-0.4444434000394793</v>
      </c>
      <c r="Q18" s="10">
        <f>+Q17/Q19</f>
        <v>-0.82843308989319131</v>
      </c>
      <c r="R18" s="10">
        <f>+R17/R19</f>
        <v>-0.63934042700679372</v>
      </c>
      <c r="S18" s="10">
        <f t="shared" ref="S18:V18" si="47">+S17/S19</f>
        <v>2.491528802072952E-2</v>
      </c>
      <c r="T18" s="10">
        <f t="shared" si="47"/>
        <v>-0.10437355185873433</v>
      </c>
      <c r="U18" s="10">
        <f t="shared" si="47"/>
        <v>0.15179871126362623</v>
      </c>
      <c r="V18" s="10">
        <f t="shared" si="47"/>
        <v>0.41489096237075618</v>
      </c>
    </row>
    <row r="19" spans="1:134" x14ac:dyDescent="0.2">
      <c r="A19" t="s">
        <v>12</v>
      </c>
      <c r="B19" s="3">
        <v>109.524</v>
      </c>
      <c r="C19" s="3">
        <v>111.041</v>
      </c>
      <c r="D19" s="3">
        <v>111.937</v>
      </c>
      <c r="E19" s="3">
        <v>112.742</v>
      </c>
      <c r="F19" s="3">
        <v>113.791</v>
      </c>
      <c r="G19" s="3">
        <v>115.131</v>
      </c>
      <c r="H19" s="3">
        <v>115.95399999999999</v>
      </c>
      <c r="I19" s="3">
        <v>116.717</v>
      </c>
      <c r="J19" s="3">
        <v>117.542</v>
      </c>
      <c r="O19" s="3">
        <v>101.009</v>
      </c>
      <c r="P19" s="3">
        <v>106.387</v>
      </c>
      <c r="Q19" s="3">
        <v>111.321</v>
      </c>
      <c r="R19" s="3">
        <v>115.408</v>
      </c>
      <c r="S19" s="3">
        <f>+R19+5</f>
        <v>120.408</v>
      </c>
      <c r="T19" s="3">
        <f t="shared" ref="T19:V19" si="48">+S19+5</f>
        <v>125.408</v>
      </c>
      <c r="U19" s="3">
        <f t="shared" si="48"/>
        <v>130.40800000000002</v>
      </c>
      <c r="V19" s="3">
        <f>+U19+5</f>
        <v>135.40800000000002</v>
      </c>
    </row>
    <row r="20" spans="1:134" x14ac:dyDescent="0.2">
      <c r="J20" s="3"/>
    </row>
    <row r="21" spans="1:134" s="9" customFormat="1" x14ac:dyDescent="0.2">
      <c r="A21" s="15" t="s">
        <v>82</v>
      </c>
      <c r="B21" s="9">
        <f t="shared" ref="B21:I21" si="49">+B8/B4</f>
        <v>0.21516239144621255</v>
      </c>
      <c r="C21" s="9">
        <f t="shared" si="49"/>
        <v>0.22044407664551147</v>
      </c>
      <c r="D21" s="9">
        <f t="shared" si="49"/>
        <v>0.20663879531715576</v>
      </c>
      <c r="E21" s="9">
        <f t="shared" si="49"/>
        <v>0.19991767363010546</v>
      </c>
      <c r="F21" s="9">
        <f t="shared" si="49"/>
        <v>0.20219869836209681</v>
      </c>
      <c r="G21" s="9">
        <f t="shared" si="49"/>
        <v>0.19404110010459608</v>
      </c>
      <c r="H21" s="9">
        <f t="shared" si="49"/>
        <v>0.18385443286077935</v>
      </c>
      <c r="I21" s="9">
        <f t="shared" si="49"/>
        <v>0.18791313887091782</v>
      </c>
      <c r="J21" s="9">
        <f>+J8/J4</f>
        <v>0.2024763730488375</v>
      </c>
      <c r="O21" s="9">
        <f t="shared" ref="O21:AH21" si="50">+O8/O4</f>
        <v>0.23099079780383033</v>
      </c>
      <c r="P21" s="9">
        <f t="shared" si="50"/>
        <v>0.21516456304400053</v>
      </c>
      <c r="Q21" s="9">
        <f t="shared" si="50"/>
        <v>0.21013157374731223</v>
      </c>
      <c r="R21" s="9">
        <f t="shared" si="50"/>
        <v>0.19176296778555421</v>
      </c>
      <c r="S21" s="9">
        <f t="shared" si="50"/>
        <v>0.19</v>
      </c>
      <c r="T21" s="9">
        <f t="shared" si="50"/>
        <v>0.19</v>
      </c>
      <c r="U21" s="9">
        <f t="shared" si="50"/>
        <v>0.19</v>
      </c>
      <c r="V21" s="9">
        <f t="shared" si="50"/>
        <v>0.19</v>
      </c>
      <c r="W21" s="9">
        <f t="shared" si="50"/>
        <v>0.19000000000000003</v>
      </c>
      <c r="X21" s="9">
        <f t="shared" si="50"/>
        <v>0.19</v>
      </c>
      <c r="Y21" s="9">
        <f t="shared" si="50"/>
        <v>0.19</v>
      </c>
      <c r="Z21" s="9">
        <f t="shared" si="50"/>
        <v>0.19</v>
      </c>
      <c r="AA21" s="9">
        <f t="shared" si="50"/>
        <v>0.19</v>
      </c>
      <c r="AB21" s="9">
        <f t="shared" si="50"/>
        <v>0.19</v>
      </c>
      <c r="AC21" s="9">
        <f t="shared" si="50"/>
        <v>0.15</v>
      </c>
      <c r="AD21" s="9">
        <f t="shared" si="50"/>
        <v>0.15</v>
      </c>
      <c r="AE21" s="9">
        <f t="shared" si="50"/>
        <v>0.15</v>
      </c>
      <c r="AF21" s="9">
        <f t="shared" si="50"/>
        <v>0.15</v>
      </c>
      <c r="AG21" s="9">
        <f t="shared" si="50"/>
        <v>0.15</v>
      </c>
      <c r="AH21" s="9">
        <f t="shared" si="50"/>
        <v>0.15</v>
      </c>
      <c r="AJ21" s="16" t="s">
        <v>75</v>
      </c>
      <c r="AK21" s="14">
        <v>-0.03</v>
      </c>
    </row>
    <row r="22" spans="1:134" s="14" customFormat="1" x14ac:dyDescent="0.2">
      <c r="A22" s="13" t="s">
        <v>30</v>
      </c>
      <c r="B22" s="14">
        <f t="shared" ref="B22:I22" si="51">+B6/B4</f>
        <v>0.78082174589629028</v>
      </c>
      <c r="C22" s="14">
        <f t="shared" si="51"/>
        <v>0.78071814093865799</v>
      </c>
      <c r="D22" s="14">
        <f t="shared" si="51"/>
        <v>0.77934355537000077</v>
      </c>
      <c r="E22" s="14">
        <f t="shared" si="51"/>
        <v>0.75497072539281052</v>
      </c>
      <c r="F22" s="14">
        <f t="shared" si="51"/>
        <v>0.75902223587288642</v>
      </c>
      <c r="G22" s="14">
        <f t="shared" si="51"/>
        <v>0.77689247113353432</v>
      </c>
      <c r="H22" s="14">
        <f t="shared" si="51"/>
        <v>0.77296567739630528</v>
      </c>
      <c r="I22" s="14">
        <f t="shared" si="51"/>
        <v>0.77120662334861656</v>
      </c>
      <c r="J22" s="14">
        <f t="shared" ref="J22" si="52">+J6/J4</f>
        <v>0.77342205305587575</v>
      </c>
      <c r="O22" s="14">
        <f>+O6/O4</f>
        <v>0.82382939478125761</v>
      </c>
      <c r="P22" s="14">
        <f>+P6/P4</f>
        <v>0.80338181213386795</v>
      </c>
      <c r="Q22" s="14">
        <f>+Q6/Q4</f>
        <v>0.7734323198051497</v>
      </c>
      <c r="R22" s="14">
        <f>+R6/R4</f>
        <v>0.7701581299846002</v>
      </c>
      <c r="S22" s="14">
        <f t="shared" ref="S22:AH22" si="53">+S6/S4</f>
        <v>0.77626012653368159</v>
      </c>
      <c r="T22" s="14">
        <f t="shared" si="53"/>
        <v>0.78220012317438026</v>
      </c>
      <c r="U22" s="14">
        <f t="shared" si="53"/>
        <v>0.78798242078921965</v>
      </c>
      <c r="V22" s="14">
        <f t="shared" si="53"/>
        <v>0.7936112060780014</v>
      </c>
      <c r="W22" s="14">
        <f t="shared" si="53"/>
        <v>0.79909055458920497</v>
      </c>
      <c r="X22" s="14">
        <f t="shared" si="53"/>
        <v>0.80442443367090732</v>
      </c>
      <c r="Y22" s="14">
        <f t="shared" si="53"/>
        <v>0.80961670534336116</v>
      </c>
      <c r="Z22" s="14">
        <f t="shared" si="53"/>
        <v>0.81467112909530726</v>
      </c>
      <c r="AA22" s="14">
        <f t="shared" si="53"/>
        <v>0.8195913646060512</v>
      </c>
      <c r="AB22" s="14">
        <f t="shared" si="53"/>
        <v>0.82438097439527103</v>
      </c>
      <c r="AC22" s="14">
        <f t="shared" si="53"/>
        <v>0.79999999999999993</v>
      </c>
      <c r="AD22" s="14">
        <f t="shared" si="53"/>
        <v>0.80363636363636359</v>
      </c>
      <c r="AE22" s="14">
        <f t="shared" si="53"/>
        <v>0.80720661157024787</v>
      </c>
      <c r="AF22" s="14">
        <f t="shared" si="53"/>
        <v>0.81071194590533435</v>
      </c>
      <c r="AG22" s="14">
        <f t="shared" si="53"/>
        <v>0.81415354688887365</v>
      </c>
      <c r="AH22" s="14">
        <f t="shared" si="53"/>
        <v>0.81753257330907603</v>
      </c>
      <c r="AJ22" s="16" t="s">
        <v>76</v>
      </c>
      <c r="AK22" s="14">
        <v>0.11</v>
      </c>
    </row>
    <row r="23" spans="1:134" s="14" customFormat="1" x14ac:dyDescent="0.2">
      <c r="A23" s="13" t="s">
        <v>31</v>
      </c>
      <c r="B23" s="14">
        <f t="shared" ref="B23:I23" si="54">+B11/B4</f>
        <v>-0.11010993424024899</v>
      </c>
      <c r="C23" s="14">
        <f t="shared" si="54"/>
        <v>-0.14129158274563255</v>
      </c>
      <c r="D23" s="14">
        <f t="shared" si="54"/>
        <v>-7.4108812646195898E-2</v>
      </c>
      <c r="E23" s="14">
        <f t="shared" si="54"/>
        <v>-7.6308962200280703E-2</v>
      </c>
      <c r="F23" s="14">
        <f t="shared" si="54"/>
        <v>-0.10144090998151868</v>
      </c>
      <c r="G23" s="14">
        <f t="shared" si="54"/>
        <v>-5.5092393199204275E-2</v>
      </c>
      <c r="H23" s="14">
        <f t="shared" si="54"/>
        <v>-3.9264820447677561E-2</v>
      </c>
      <c r="I23" s="14">
        <f t="shared" si="54"/>
        <v>-4.616372722755107E-2</v>
      </c>
      <c r="J23" s="14">
        <f t="shared" ref="J23" si="55">+J11/J4</f>
        <v>-3.4918341737628533E-2</v>
      </c>
      <c r="O23" s="14">
        <f>+O11/O4</f>
        <v>-8.2760704282621667E-2</v>
      </c>
      <c r="P23" s="14">
        <f>+P11/P4</f>
        <v>-7.7186627982185591E-2</v>
      </c>
      <c r="Q23" s="14">
        <f>+Q11/Q4</f>
        <v>-9.9262138991877732E-2</v>
      </c>
      <c r="R23" s="14">
        <f>+R11/R4</f>
        <v>-5.967247186087573E-2</v>
      </c>
      <c r="S23" s="14">
        <f t="shared" ref="S23:AH23" si="56">+S11/S4</f>
        <v>-2.3574426373146197E-2</v>
      </c>
      <c r="T23" s="14">
        <f t="shared" si="56"/>
        <v>9.3494000421908193E-3</v>
      </c>
      <c r="U23" s="14">
        <f t="shared" si="56"/>
        <v>4.0921552662879224E-2</v>
      </c>
      <c r="V23" s="14">
        <f t="shared" si="56"/>
        <v>7.1199048930702474E-2</v>
      </c>
      <c r="W23" s="14">
        <f t="shared" si="56"/>
        <v>0.10023645749267132</v>
      </c>
      <c r="X23" s="14">
        <f t="shared" si="56"/>
        <v>0.12808600458749458</v>
      </c>
      <c r="Y23" s="14">
        <f t="shared" si="56"/>
        <v>0.15479767577691345</v>
      </c>
      <c r="Z23" s="14">
        <f t="shared" si="56"/>
        <v>0.18041931322648996</v>
      </c>
      <c r="AA23" s="14">
        <f t="shared" si="56"/>
        <v>0.20499670873142939</v>
      </c>
      <c r="AB23" s="14">
        <f t="shared" si="56"/>
        <v>0.22857369267439342</v>
      </c>
      <c r="AC23" s="14">
        <f t="shared" si="56"/>
        <v>0.26263850381188958</v>
      </c>
      <c r="AD23" s="14">
        <f t="shared" si="56"/>
        <v>0.2838822081840765</v>
      </c>
      <c r="AE23" s="14">
        <f t="shared" si="56"/>
        <v>0.30425946318397379</v>
      </c>
      <c r="AF23" s="14">
        <f t="shared" si="56"/>
        <v>0.3238078497184364</v>
      </c>
      <c r="AG23" s="14">
        <f t="shared" si="56"/>
        <v>0.34256327325592567</v>
      </c>
      <c r="AH23" s="14">
        <f t="shared" si="56"/>
        <v>0.36056003938671649</v>
      </c>
      <c r="AJ23" s="16" t="s">
        <v>77</v>
      </c>
      <c r="AK23" s="20">
        <f>NPV(AK22,S17:ED17)</f>
        <v>4486.4143128910064</v>
      </c>
    </row>
    <row r="24" spans="1:134" s="14" customFormat="1" x14ac:dyDescent="0.2">
      <c r="A24" s="13" t="s">
        <v>32</v>
      </c>
      <c r="B24" s="14">
        <f t="shared" ref="B24:I24" si="57">+B17/B4</f>
        <v>-0.15376989106972541</v>
      </c>
      <c r="C24" s="14">
        <f t="shared" si="57"/>
        <v>-0.16732890757631996</v>
      </c>
      <c r="D24" s="14">
        <f t="shared" si="57"/>
        <v>-8.4969488307187244E-2</v>
      </c>
      <c r="E24" s="14">
        <f t="shared" si="57"/>
        <v>-4.3205095568999943E-2</v>
      </c>
      <c r="F24" s="14">
        <f t="shared" si="57"/>
        <v>-0.13290157223878546</v>
      </c>
      <c r="G24" s="14">
        <f t="shared" si="57"/>
        <v>-8.1902828195820274E-2</v>
      </c>
      <c r="H24" s="14">
        <f t="shared" si="57"/>
        <v>-7.7234541926968381E-2</v>
      </c>
      <c r="I24" s="14">
        <f t="shared" si="57"/>
        <v>-4.1583452879900675E-3</v>
      </c>
      <c r="J24" s="14">
        <f t="shared" ref="J24" si="58">+J17/J4</f>
        <v>-6.0182162520084626E-2</v>
      </c>
      <c r="O24" s="14">
        <f>+O17/O4</f>
        <v>-9.7067154906285688E-2</v>
      </c>
      <c r="P24" s="14">
        <f>+P17/P4</f>
        <v>-8.7378264003104777E-2</v>
      </c>
      <c r="Q24" s="14">
        <f>+Q17/Q4</f>
        <v>-0.13498714122405001</v>
      </c>
      <c r="R24" s="14">
        <f>+R17/R4</f>
        <v>-9.2380213093613509E-2</v>
      </c>
      <c r="S24" s="14">
        <f t="shared" ref="S24:AH24" si="59">+S17/S4</f>
        <v>3.3239439303842048E-3</v>
      </c>
      <c r="T24" s="14">
        <f t="shared" si="59"/>
        <v>-1.2834226390128635E-2</v>
      </c>
      <c r="U24" s="14">
        <f t="shared" si="59"/>
        <v>1.7177021789242502E-2</v>
      </c>
      <c r="V24" s="14">
        <f t="shared" si="59"/>
        <v>4.3139529315491462E-2</v>
      </c>
      <c r="W24" s="14">
        <f t="shared" si="59"/>
        <v>6.8553339413379738E-2</v>
      </c>
      <c r="X24" s="14">
        <f t="shared" si="59"/>
        <v>9.3534729188341909E-2</v>
      </c>
      <c r="Y24" s="14">
        <f t="shared" si="59"/>
        <v>0.11817158982843623</v>
      </c>
      <c r="Z24" s="14">
        <f t="shared" si="59"/>
        <v>0.14252931206532621</v>
      </c>
      <c r="AA24" s="14">
        <f t="shared" si="59"/>
        <v>0.16665551410146884</v>
      </c>
      <c r="AB24" s="14">
        <f t="shared" si="59"/>
        <v>0.19058383642878973</v>
      </c>
      <c r="AC24" s="14">
        <f t="shared" si="59"/>
        <v>0.22408878839352497</v>
      </c>
      <c r="AD24" s="14">
        <f t="shared" si="59"/>
        <v>0.24763075700063497</v>
      </c>
      <c r="AE24" s="14">
        <f t="shared" si="59"/>
        <v>0.27134552182349425</v>
      </c>
      <c r="AF24" s="14">
        <f t="shared" si="59"/>
        <v>0.29523762469251896</v>
      </c>
      <c r="AG24" s="14">
        <f t="shared" si="59"/>
        <v>0.31930902113020138</v>
      </c>
      <c r="AH24" s="14">
        <f t="shared" si="59"/>
        <v>0.34355959745687542</v>
      </c>
      <c r="AJ24" s="17" t="s">
        <v>37</v>
      </c>
      <c r="AK24" s="3">
        <f>+R29</f>
        <v>114.69099999999997</v>
      </c>
    </row>
    <row r="25" spans="1:134" s="14" customFormat="1" x14ac:dyDescent="0.2">
      <c r="A25" s="13" t="s">
        <v>33</v>
      </c>
      <c r="B25" s="14">
        <f t="shared" ref="B25:I25" si="60">+B16/B15</f>
        <v>-0.1232010266752223</v>
      </c>
      <c r="C25" s="14">
        <f t="shared" si="60"/>
        <v>1.7120594753020232E-2</v>
      </c>
      <c r="D25" s="14">
        <f t="shared" si="60"/>
        <v>-4.892685682010732E-2</v>
      </c>
      <c r="E25" s="14">
        <f t="shared" si="60"/>
        <v>-1.1717941736999637</v>
      </c>
      <c r="F25" s="14">
        <f t="shared" si="60"/>
        <v>-0.14352758919214467</v>
      </c>
      <c r="G25" s="14">
        <f t="shared" si="60"/>
        <v>-0.24089178901576935</v>
      </c>
      <c r="H25" s="14">
        <f t="shared" si="60"/>
        <v>-4.6597633136094635E-2</v>
      </c>
      <c r="I25" s="14">
        <f t="shared" si="60"/>
        <v>1.2906290956749711</v>
      </c>
      <c r="J25" s="14">
        <f t="shared" ref="J25" si="61">+J16/J15</f>
        <v>-0.14622100714348713</v>
      </c>
      <c r="O25" s="14">
        <f>+O16/O15</f>
        <v>-0.15258671845498198</v>
      </c>
      <c r="P25" s="14">
        <f>+P16/P15</f>
        <v>7.7134771152532325E-2</v>
      </c>
      <c r="Q25" s="14">
        <f>+Q16/Q15</f>
        <v>-8.1288325575396642E-2</v>
      </c>
      <c r="R25" s="14">
        <f>+R16/R15</f>
        <v>-0.1730151664493973</v>
      </c>
      <c r="S25" s="14">
        <f t="shared" ref="S25:AH25" si="62">+S16/S15</f>
        <v>-0.15</v>
      </c>
      <c r="T25" s="14">
        <f t="shared" si="62"/>
        <v>-0.15</v>
      </c>
      <c r="U25" s="14">
        <f t="shared" si="62"/>
        <v>0.15</v>
      </c>
      <c r="V25" s="14">
        <f t="shared" si="62"/>
        <v>0.15</v>
      </c>
      <c r="W25" s="14">
        <f t="shared" si="62"/>
        <v>0.15</v>
      </c>
      <c r="X25" s="14">
        <f t="shared" si="62"/>
        <v>0.15</v>
      </c>
      <c r="Y25" s="14">
        <f t="shared" si="62"/>
        <v>0.15</v>
      </c>
      <c r="Z25" s="14">
        <f t="shared" si="62"/>
        <v>0.15</v>
      </c>
      <c r="AA25" s="14">
        <f t="shared" si="62"/>
        <v>0.15</v>
      </c>
      <c r="AB25" s="14">
        <f t="shared" si="62"/>
        <v>0.15</v>
      </c>
      <c r="AC25" s="14">
        <f t="shared" si="62"/>
        <v>0.15</v>
      </c>
      <c r="AD25" s="14">
        <f t="shared" si="62"/>
        <v>0.15</v>
      </c>
      <c r="AE25" s="14">
        <f t="shared" si="62"/>
        <v>0.15</v>
      </c>
      <c r="AF25" s="14">
        <f t="shared" si="62"/>
        <v>0.15</v>
      </c>
      <c r="AG25" s="14">
        <f t="shared" si="62"/>
        <v>0.15</v>
      </c>
      <c r="AH25" s="14">
        <f t="shared" si="62"/>
        <v>0.15</v>
      </c>
      <c r="AJ25" s="18" t="s">
        <v>78</v>
      </c>
      <c r="AK25" s="7">
        <f>+AK23-AK24</f>
        <v>4371.7233128910066</v>
      </c>
    </row>
    <row r="26" spans="1:134" x14ac:dyDescent="0.2">
      <c r="J26" s="3"/>
      <c r="AJ26" s="19" t="s">
        <v>79</v>
      </c>
      <c r="AK26" s="3">
        <f>+Main!J3</f>
        <v>42.5</v>
      </c>
    </row>
    <row r="27" spans="1:134" s="12" customFormat="1" x14ac:dyDescent="0.2">
      <c r="A27" s="11" t="s">
        <v>36</v>
      </c>
      <c r="F27" s="12">
        <f t="shared" ref="F27:H27" si="63">+F4/B4-1</f>
        <v>0.18492420059233972</v>
      </c>
      <c r="G27" s="12">
        <f t="shared" si="63"/>
        <v>0.18677627615750181</v>
      </c>
      <c r="H27" s="12">
        <f t="shared" si="63"/>
        <v>0.1525756215291878</v>
      </c>
      <c r="I27" s="12">
        <f>+I4/E4-1</f>
        <v>0.15530978004777096</v>
      </c>
      <c r="J27" s="12">
        <f>+J4/F4-1</f>
        <v>0.14362499271866525</v>
      </c>
      <c r="P27" s="12">
        <f t="shared" ref="P27:Q27" si="64">+P4/O4-1</f>
        <v>0.22922350364930333</v>
      </c>
      <c r="Q27" s="12">
        <f t="shared" si="64"/>
        <v>0.26252656478110636</v>
      </c>
      <c r="R27" s="12">
        <f>+R4/Q4-1</f>
        <v>0.16908741479322775</v>
      </c>
      <c r="S27" s="12">
        <f t="shared" ref="S27:AH27" si="65">+S4/R4-1</f>
        <v>0.12999999999999989</v>
      </c>
      <c r="T27" s="12">
        <f t="shared" si="65"/>
        <v>0.12999999999999989</v>
      </c>
      <c r="U27" s="12">
        <f t="shared" si="65"/>
        <v>0.12999999999999989</v>
      </c>
      <c r="V27" s="12">
        <f t="shared" si="65"/>
        <v>0.12999999999999989</v>
      </c>
      <c r="W27" s="12">
        <f t="shared" si="65"/>
        <v>0.12999999999999989</v>
      </c>
      <c r="X27" s="12">
        <f t="shared" si="65"/>
        <v>0.12999999999999989</v>
      </c>
      <c r="Y27" s="12">
        <f t="shared" si="65"/>
        <v>0.12999999999999989</v>
      </c>
      <c r="Z27" s="12">
        <f t="shared" si="65"/>
        <v>0.12999999999999989</v>
      </c>
      <c r="AA27" s="12">
        <f t="shared" si="65"/>
        <v>0.12999999999999989</v>
      </c>
      <c r="AB27" s="12">
        <f t="shared" si="65"/>
        <v>0.12999999999999989</v>
      </c>
      <c r="AC27" s="12">
        <f t="shared" si="65"/>
        <v>0.10000000000000009</v>
      </c>
      <c r="AD27" s="12">
        <f t="shared" si="65"/>
        <v>0.10000000000000009</v>
      </c>
      <c r="AE27" s="12">
        <f t="shared" si="65"/>
        <v>0.10000000000000009</v>
      </c>
      <c r="AF27" s="12">
        <f t="shared" si="65"/>
        <v>0.10000000000000009</v>
      </c>
      <c r="AG27" s="12">
        <f t="shared" si="65"/>
        <v>0.10000000000000009</v>
      </c>
      <c r="AH27" s="12">
        <f t="shared" si="65"/>
        <v>0.10000000000000009</v>
      </c>
      <c r="AJ27" s="19" t="s">
        <v>80</v>
      </c>
      <c r="AK27" s="3">
        <f>+AK25/Main!J4</f>
        <v>37.19286138479017</v>
      </c>
    </row>
    <row r="28" spans="1:134" x14ac:dyDescent="0.2">
      <c r="AJ28" s="9"/>
      <c r="AK28" s="9">
        <f>+AK27/AK26-1</f>
        <v>-0.12487384976964311</v>
      </c>
    </row>
    <row r="29" spans="1:134" x14ac:dyDescent="0.2">
      <c r="A29" t="s">
        <v>37</v>
      </c>
      <c r="E29" s="3">
        <f>+E30-E44</f>
        <v>205.46499999999992</v>
      </c>
      <c r="F29" s="3">
        <f>+F30-F44</f>
        <v>255.40000000000003</v>
      </c>
      <c r="G29" s="3">
        <f>+G30-G44</f>
        <v>284.93700000000007</v>
      </c>
      <c r="H29" s="3">
        <f>+H30-H44</f>
        <v>333.03299999999996</v>
      </c>
      <c r="I29" s="3">
        <f>+I30-I44</f>
        <v>114.69099999999997</v>
      </c>
      <c r="J29" s="3">
        <f>+J30-J44</f>
        <v>152.14899999999994</v>
      </c>
      <c r="R29" s="3">
        <f>+I29</f>
        <v>114.69099999999997</v>
      </c>
      <c r="S29" s="3">
        <f>+R29+S17</f>
        <v>117.69099999999997</v>
      </c>
      <c r="T29" s="3">
        <f>+S29+T17</f>
        <v>104.60172160849982</v>
      </c>
      <c r="U29" s="3">
        <f>+T29+U17</f>
        <v>124.39748794696679</v>
      </c>
      <c r="V29" s="3">
        <f>+U29+V17</f>
        <v>180.57704337966615</v>
      </c>
      <c r="W29" s="3">
        <f>+V29+W17</f>
        <v>281.45817717601949</v>
      </c>
      <c r="X29" s="3">
        <f>+W29+X17</f>
        <v>436.99480398336186</v>
      </c>
      <c r="Y29" s="3">
        <f>+X29+Y17</f>
        <v>659.04507351675943</v>
      </c>
      <c r="Z29" s="3">
        <f>+Y29+Z17</f>
        <v>961.68126207361843</v>
      </c>
      <c r="AA29" s="3">
        <f>+Z29+AA17</f>
        <v>1361.5475591212421</v>
      </c>
      <c r="AB29" s="3">
        <f>+AA29+AB17</f>
        <v>1878.2727349889124</v>
      </c>
      <c r="AC29" s="3">
        <f>+AB29+AC17</f>
        <v>2546.5956779970966</v>
      </c>
      <c r="AD29" s="3">
        <f>+AC29+AD17</f>
        <v>3358.9837016590154</v>
      </c>
      <c r="AE29" s="3">
        <f>+AD29+AE17</f>
        <v>4338.1901635746044</v>
      </c>
      <c r="AF29" s="3">
        <f>+AE29+AF17</f>
        <v>5510.1588282955045</v>
      </c>
      <c r="AG29" s="3">
        <f>+AF29+AG17</f>
        <v>6904.4329634730329</v>
      </c>
      <c r="AH29" s="3">
        <f>+AG29+AH17</f>
        <v>8554.6146114067487</v>
      </c>
    </row>
    <row r="30" spans="1:134" x14ac:dyDescent="0.2">
      <c r="A30" t="s">
        <v>14</v>
      </c>
      <c r="E30" s="3">
        <f>300.866+266.569</f>
        <v>567.43499999999995</v>
      </c>
      <c r="F30" s="3">
        <f>360.434+256.253</f>
        <v>616.68700000000001</v>
      </c>
      <c r="G30" s="3">
        <f>376.059+269.487</f>
        <v>645.54600000000005</v>
      </c>
      <c r="H30" s="3">
        <f>445.316+247.658</f>
        <v>692.97399999999993</v>
      </c>
      <c r="I30" s="3">
        <f>237.132+236.84</f>
        <v>473.97199999999998</v>
      </c>
      <c r="J30" s="3">
        <f>259.977+250.794</f>
        <v>510.77099999999996</v>
      </c>
    </row>
    <row r="31" spans="1:134" x14ac:dyDescent="0.2">
      <c r="A31" t="s">
        <v>38</v>
      </c>
      <c r="E31" s="3">
        <v>187.34100000000001</v>
      </c>
      <c r="F31" s="3">
        <v>123.855</v>
      </c>
      <c r="G31" s="3">
        <v>154.43600000000001</v>
      </c>
      <c r="H31" s="3">
        <v>179.43199999999999</v>
      </c>
      <c r="I31" s="3">
        <v>220.06</v>
      </c>
      <c r="J31" s="3">
        <v>156.804</v>
      </c>
    </row>
    <row r="32" spans="1:134" x14ac:dyDescent="0.2">
      <c r="A32" t="s">
        <v>39</v>
      </c>
      <c r="E32" s="3">
        <f>44.27+67.238</f>
        <v>111.50800000000001</v>
      </c>
      <c r="F32" s="3">
        <f>44.045+64.335</f>
        <v>108.38</v>
      </c>
      <c r="G32" s="3">
        <f>45.036+64.546</f>
        <v>109.58200000000001</v>
      </c>
      <c r="H32" s="3">
        <f>46.132+65.412</f>
        <v>111.54400000000001</v>
      </c>
      <c r="I32" s="3">
        <f>49.559+72.394</f>
        <v>121.953</v>
      </c>
      <c r="J32" s="3">
        <f>49.168+68.447</f>
        <v>117.61500000000001</v>
      </c>
    </row>
    <row r="33" spans="1:34" x14ac:dyDescent="0.2">
      <c r="A33" t="s">
        <v>40</v>
      </c>
      <c r="E33" s="3">
        <v>58.121000000000002</v>
      </c>
      <c r="F33" s="3">
        <v>66.465999999999994</v>
      </c>
      <c r="G33" s="3">
        <v>54.703000000000003</v>
      </c>
      <c r="H33" s="3">
        <v>52.529000000000003</v>
      </c>
      <c r="I33" s="3">
        <v>61.881999999999998</v>
      </c>
      <c r="J33" s="3">
        <v>66.013000000000005</v>
      </c>
    </row>
    <row r="34" spans="1:34" x14ac:dyDescent="0.2">
      <c r="A34" t="s">
        <v>42</v>
      </c>
      <c r="E34" s="3">
        <v>46.725999999999999</v>
      </c>
      <c r="F34" s="3">
        <v>45.091999999999999</v>
      </c>
      <c r="G34" s="3">
        <v>44.764000000000003</v>
      </c>
      <c r="H34" s="3">
        <v>44.076000000000001</v>
      </c>
      <c r="I34" s="3">
        <v>45.436</v>
      </c>
      <c r="J34" s="3">
        <v>45.581000000000003</v>
      </c>
    </row>
    <row r="35" spans="1:34" x14ac:dyDescent="0.2">
      <c r="A35" t="s">
        <v>43</v>
      </c>
      <c r="E35" s="3">
        <v>38.494999999999997</v>
      </c>
      <c r="F35" s="3">
        <v>37.377000000000002</v>
      </c>
      <c r="G35" s="3">
        <v>37.124000000000002</v>
      </c>
      <c r="H35" s="3">
        <v>35.988999999999997</v>
      </c>
      <c r="I35" s="3">
        <v>34.835000000000001</v>
      </c>
      <c r="J35" s="3">
        <v>33.694000000000003</v>
      </c>
    </row>
    <row r="36" spans="1:34" x14ac:dyDescent="0.2">
      <c r="A36" t="s">
        <v>44</v>
      </c>
      <c r="E36" s="3">
        <f>75.376+316.52</f>
        <v>391.89599999999996</v>
      </c>
      <c r="F36" s="3">
        <f>72.296+316.52</f>
        <v>388.81599999999997</v>
      </c>
      <c r="G36" s="3">
        <f>69.224+316.52</f>
        <v>385.74399999999997</v>
      </c>
      <c r="H36" s="3">
        <f>66.169+316.52</f>
        <v>382.68899999999996</v>
      </c>
      <c r="I36" s="3">
        <f>107.017+518.539</f>
        <v>625.55600000000004</v>
      </c>
      <c r="J36" s="3">
        <f>102.349+518.539</f>
        <v>620.88800000000003</v>
      </c>
    </row>
    <row r="37" spans="1:34" x14ac:dyDescent="0.2">
      <c r="A37" t="s">
        <v>45</v>
      </c>
      <c r="E37" s="3">
        <v>38.008000000000003</v>
      </c>
      <c r="F37" s="3">
        <v>36.603999999999999</v>
      </c>
      <c r="G37" s="3">
        <v>33.94</v>
      </c>
      <c r="H37" s="3">
        <v>25.213000000000001</v>
      </c>
      <c r="I37" s="3">
        <v>23.177</v>
      </c>
      <c r="J37" s="3">
        <v>15.656000000000001</v>
      </c>
    </row>
    <row r="38" spans="1:34" s="8" customFormat="1" x14ac:dyDescent="0.2">
      <c r="A38" s="6" t="s">
        <v>46</v>
      </c>
      <c r="B38" s="7"/>
      <c r="C38" s="7"/>
      <c r="D38" s="7"/>
      <c r="E38" s="7">
        <f>SUM(E30:E37)</f>
        <v>1439.53</v>
      </c>
      <c r="F38" s="7">
        <f>SUM(F30:F37)</f>
        <v>1423.277</v>
      </c>
      <c r="G38" s="7">
        <f>SUM(G30:G37)</f>
        <v>1465.8389999999999</v>
      </c>
      <c r="H38" s="7">
        <f>SUM(H30:H37)</f>
        <v>1524.4460000000001</v>
      </c>
      <c r="I38" s="7">
        <f>SUM(I30:I37)</f>
        <v>1606.8709999999999</v>
      </c>
      <c r="J38" s="7">
        <f>SUM(J30:J37)</f>
        <v>1567.0219999999999</v>
      </c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x14ac:dyDescent="0.2">
      <c r="A39" t="s">
        <v>47</v>
      </c>
      <c r="E39" s="3">
        <v>18.722000000000001</v>
      </c>
      <c r="F39" s="3">
        <v>21.872</v>
      </c>
      <c r="G39" s="3">
        <v>24.855</v>
      </c>
      <c r="H39" s="3">
        <v>26.88</v>
      </c>
      <c r="I39" s="3">
        <v>16.940999999999999</v>
      </c>
      <c r="J39" s="3">
        <v>17.667000000000002</v>
      </c>
    </row>
    <row r="40" spans="1:34" x14ac:dyDescent="0.2">
      <c r="A40" t="s">
        <v>48</v>
      </c>
      <c r="E40" s="3">
        <v>52.62</v>
      </c>
      <c r="F40" s="3">
        <v>36.786000000000001</v>
      </c>
      <c r="G40" s="3">
        <v>45.22</v>
      </c>
      <c r="H40" s="3">
        <v>44.85</v>
      </c>
      <c r="I40" s="3">
        <v>66.492000000000004</v>
      </c>
      <c r="J40" s="3">
        <v>43.546999999999997</v>
      </c>
    </row>
    <row r="41" spans="1:34" x14ac:dyDescent="0.2">
      <c r="A41" t="s">
        <v>49</v>
      </c>
      <c r="E41" s="3">
        <f>502.115+162.487</f>
        <v>664.60199999999998</v>
      </c>
      <c r="F41" s="3">
        <f>490.076+151.992</f>
        <v>642.06799999999998</v>
      </c>
      <c r="G41" s="3">
        <f>495.199+154.995</f>
        <v>650.19399999999996</v>
      </c>
      <c r="H41" s="3">
        <f>518.372+163.086</f>
        <v>681.45799999999997</v>
      </c>
      <c r="I41" s="3">
        <f>580.779+169.718</f>
        <v>750.49699999999996</v>
      </c>
      <c r="J41" s="3">
        <f>562.575+160.133</f>
        <v>722.70800000000008</v>
      </c>
    </row>
    <row r="42" spans="1:34" x14ac:dyDescent="0.2">
      <c r="A42" t="s">
        <v>43</v>
      </c>
      <c r="E42" s="3">
        <f>5.821+52.611</f>
        <v>58.431999999999995</v>
      </c>
      <c r="F42" s="3">
        <f>5.958+51.088</f>
        <v>57.045999999999999</v>
      </c>
      <c r="G42" s="3">
        <f>5.62+51.005</f>
        <v>56.625</v>
      </c>
      <c r="H42" s="3">
        <f>5.655+49.382</f>
        <v>55.036999999999999</v>
      </c>
      <c r="I42" s="3">
        <f>5.971+48.058</f>
        <v>54.028999999999996</v>
      </c>
      <c r="J42" s="3">
        <f>5.985+46.317</f>
        <v>52.302</v>
      </c>
    </row>
    <row r="43" spans="1:34" x14ac:dyDescent="0.2">
      <c r="A43" t="s">
        <v>50</v>
      </c>
      <c r="E43" s="3">
        <f>4.882+7.436</f>
        <v>12.318</v>
      </c>
      <c r="F43" s="3">
        <f>5.259+7.28</f>
        <v>12.539000000000001</v>
      </c>
      <c r="G43" s="3">
        <f>6.177+7.598</f>
        <v>13.774999999999999</v>
      </c>
      <c r="H43" s="3">
        <f>4.986+7.621</f>
        <v>12.606999999999999</v>
      </c>
      <c r="I43" s="3">
        <f>5.655+7.632</f>
        <v>13.286999999999999</v>
      </c>
      <c r="J43" s="3">
        <f>8.159+5.069</f>
        <v>13.228000000000002</v>
      </c>
    </row>
    <row r="44" spans="1:34" x14ac:dyDescent="0.2">
      <c r="A44" t="s">
        <v>15</v>
      </c>
      <c r="E44" s="3">
        <v>361.97</v>
      </c>
      <c r="F44" s="3">
        <v>361.28699999999998</v>
      </c>
      <c r="G44" s="3">
        <v>360.60899999999998</v>
      </c>
      <c r="H44" s="3">
        <v>359.94099999999997</v>
      </c>
      <c r="I44" s="3">
        <v>359.28100000000001</v>
      </c>
      <c r="J44" s="3">
        <v>358.62200000000001</v>
      </c>
    </row>
    <row r="45" spans="1:34" s="8" customFormat="1" x14ac:dyDescent="0.2">
      <c r="A45" s="6" t="s">
        <v>53</v>
      </c>
      <c r="B45" s="7"/>
      <c r="C45" s="7"/>
      <c r="D45" s="7"/>
      <c r="E45" s="7">
        <f>SUM(E39:E44)</f>
        <v>1168.664</v>
      </c>
      <c r="F45" s="7">
        <f>SUM(F39:F44)</f>
        <v>1131.598</v>
      </c>
      <c r="G45" s="7">
        <f>SUM(G39:G44)</f>
        <v>1151.278</v>
      </c>
      <c r="H45" s="7">
        <f>SUM(H39:H44)</f>
        <v>1180.7729999999999</v>
      </c>
      <c r="I45" s="7">
        <f>SUM(I39:I44)</f>
        <v>1260.527</v>
      </c>
      <c r="J45" s="7">
        <f>SUM(J39:J44)</f>
        <v>1208.0740000000001</v>
      </c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x14ac:dyDescent="0.2">
      <c r="A46" t="s">
        <v>51</v>
      </c>
      <c r="E46" s="3">
        <f>+E38-E45</f>
        <v>270.86599999999999</v>
      </c>
      <c r="F46" s="3">
        <f>+F38-F45</f>
        <v>291.67900000000009</v>
      </c>
      <c r="G46" s="3">
        <f>+G38-G45</f>
        <v>314.56099999999992</v>
      </c>
      <c r="H46" s="3">
        <f>+H38-H45</f>
        <v>343.67300000000023</v>
      </c>
      <c r="I46" s="3">
        <f>+I38-I45</f>
        <v>346.34399999999982</v>
      </c>
      <c r="J46" s="3">
        <v>358.94799999999998</v>
      </c>
    </row>
    <row r="47" spans="1:34" x14ac:dyDescent="0.2">
      <c r="A47" t="s">
        <v>52</v>
      </c>
      <c r="E47" s="3">
        <f>+E46+E45</f>
        <v>1439.53</v>
      </c>
      <c r="F47" s="3">
        <f>+F46+F45</f>
        <v>1423.277</v>
      </c>
      <c r="G47" s="3">
        <f>+G46+G45</f>
        <v>1465.8389999999999</v>
      </c>
      <c r="H47" s="3">
        <f>+H46+H45</f>
        <v>1524.4460000000001</v>
      </c>
      <c r="I47" s="3">
        <f>+I46+I45</f>
        <v>1606.8709999999999</v>
      </c>
      <c r="J47" s="3">
        <f>+J46+J45</f>
        <v>1567.0219999999999</v>
      </c>
    </row>
    <row r="48" spans="1:34" x14ac:dyDescent="0.2">
      <c r="J48" s="3"/>
    </row>
    <row r="49" spans="1:10" x14ac:dyDescent="0.2">
      <c r="A49" t="s">
        <v>83</v>
      </c>
      <c r="E49" s="3">
        <f t="shared" ref="E49:I49" si="66">+SUM(B17:E17)</f>
        <v>-74.839000000000027</v>
      </c>
      <c r="F49" s="3">
        <f t="shared" si="66"/>
        <v>-75.430000000000035</v>
      </c>
      <c r="G49" s="3">
        <f t="shared" si="66"/>
        <v>-63.90500000000003</v>
      </c>
      <c r="H49" s="3">
        <f t="shared" si="66"/>
        <v>-64.613000000000042</v>
      </c>
      <c r="I49" s="3">
        <f t="shared" si="66"/>
        <v>-57.523000000000032</v>
      </c>
      <c r="J49" s="3">
        <f>+SUM(G17:J17)</f>
        <v>-45.423000000000016</v>
      </c>
    </row>
    <row r="50" spans="1:10" s="9" customFormat="1" x14ac:dyDescent="0.2">
      <c r="A50" s="15" t="s">
        <v>74</v>
      </c>
      <c r="E50" s="9">
        <f t="shared" ref="E50:I50" si="67">+E49/(E31+E32+E33+E34+E35+E37)</f>
        <v>-0.15584997053304989</v>
      </c>
      <c r="F50" s="9">
        <f t="shared" si="67"/>
        <v>-0.18055216456744563</v>
      </c>
      <c r="G50" s="9">
        <f t="shared" si="67"/>
        <v>-0.14706051561504002</v>
      </c>
      <c r="H50" s="9">
        <f t="shared" si="67"/>
        <v>-0.14397381362484774</v>
      </c>
      <c r="I50" s="9">
        <f t="shared" si="67"/>
        <v>-0.11338088827479639</v>
      </c>
      <c r="J50" s="9">
        <f>+J49/(J31+J32+J33+J34+J35+J37)</f>
        <v>-0.10433362504392889</v>
      </c>
    </row>
    <row r="52" spans="1:10" x14ac:dyDescent="0.2">
      <c r="A52" t="s">
        <v>54</v>
      </c>
      <c r="F52" s="3">
        <f>+F17</f>
        <v>-25.097000000000005</v>
      </c>
      <c r="G52" s="3">
        <f>+G17</f>
        <v>-15.974000000000004</v>
      </c>
      <c r="H52" s="3">
        <f>+H17</f>
        <v>-15.56500000000001</v>
      </c>
      <c r="I52" s="3">
        <f>+I17</f>
        <v>-0.88700000000000934</v>
      </c>
      <c r="J52" s="3">
        <f>+J17</f>
        <v>-12.996999999999996</v>
      </c>
    </row>
    <row r="53" spans="1:10" x14ac:dyDescent="0.2">
      <c r="A53" t="s">
        <v>55</v>
      </c>
      <c r="F53" s="3">
        <v>-25.097000000000001</v>
      </c>
      <c r="G53" s="3">
        <f>-41.071-F53</f>
        <v>-15.973999999999997</v>
      </c>
      <c r="H53" s="3">
        <f>-56.636-SUM(F53:G53)</f>
        <v>-15.565000000000005</v>
      </c>
      <c r="I53" s="3">
        <f>+-78.284-SUM(F53:H53)</f>
        <v>-21.648000000000003</v>
      </c>
      <c r="J53" s="3">
        <v>-14.385999999999999</v>
      </c>
    </row>
    <row r="54" spans="1:10" x14ac:dyDescent="0.2">
      <c r="A54" t="s">
        <v>71</v>
      </c>
      <c r="F54" s="3">
        <v>0</v>
      </c>
      <c r="G54" s="3">
        <v>0</v>
      </c>
      <c r="H54" s="3">
        <v>0</v>
      </c>
      <c r="I54" s="3">
        <v>0.26500000000000001</v>
      </c>
      <c r="J54" s="3">
        <v>0</v>
      </c>
    </row>
    <row r="55" spans="1:10" x14ac:dyDescent="0.2">
      <c r="A55" t="s">
        <v>56</v>
      </c>
      <c r="F55" s="3">
        <v>6.3650000000000002</v>
      </c>
      <c r="G55" s="3">
        <f>12.624-F55</f>
        <v>6.2590000000000003</v>
      </c>
      <c r="H55" s="3">
        <f>18.9-SUM(F55:G55)</f>
        <v>6.275999999999998</v>
      </c>
      <c r="I55" s="3">
        <f>27.108-SUM(F55:H55)</f>
        <v>8.208000000000002</v>
      </c>
      <c r="J55" s="3">
        <v>8.2319999999999993</v>
      </c>
    </row>
    <row r="56" spans="1:10" x14ac:dyDescent="0.2">
      <c r="A56" t="s">
        <v>57</v>
      </c>
      <c r="F56" s="3">
        <v>34.116999999999997</v>
      </c>
      <c r="G56" s="3">
        <f>71.977-F56</f>
        <v>37.860000000000007</v>
      </c>
      <c r="H56" s="3">
        <f>108.812-SUM(F56:G56)</f>
        <v>36.834999999999994</v>
      </c>
      <c r="I56" s="3">
        <f>145.327-SUM(F56:H56)</f>
        <v>36.515000000000001</v>
      </c>
      <c r="J56" s="3">
        <v>39.719000000000001</v>
      </c>
    </row>
    <row r="57" spans="1:10" x14ac:dyDescent="0.2">
      <c r="A57" t="s">
        <v>72</v>
      </c>
      <c r="F57" s="3">
        <v>0</v>
      </c>
      <c r="G57" s="3">
        <v>0</v>
      </c>
      <c r="H57" s="3">
        <v>0</v>
      </c>
      <c r="I57" s="3">
        <v>-8.3230000000000004</v>
      </c>
      <c r="J57" s="3">
        <v>-2.2839999999999998</v>
      </c>
    </row>
    <row r="58" spans="1:10" x14ac:dyDescent="0.2">
      <c r="A58" t="s">
        <v>84</v>
      </c>
      <c r="F58" s="3">
        <v>0</v>
      </c>
      <c r="G58" s="3">
        <v>0</v>
      </c>
      <c r="H58" s="3">
        <v>0</v>
      </c>
      <c r="I58" s="3">
        <v>0</v>
      </c>
      <c r="J58" s="3">
        <v>0.32900000000000001</v>
      </c>
    </row>
    <row r="59" spans="1:10" x14ac:dyDescent="0.2">
      <c r="A59" t="s">
        <v>34</v>
      </c>
      <c r="F59" s="3">
        <v>-1.556</v>
      </c>
      <c r="G59" s="3">
        <f>+-2.795-F59</f>
        <v>-1.2389999999999999</v>
      </c>
      <c r="H59" s="3">
        <f>1.838-SUM(F59:G59)</f>
        <v>4.633</v>
      </c>
      <c r="I59" s="3">
        <f>1.914-SUM(F59:H59)</f>
        <v>7.5999999999999845E-2</v>
      </c>
      <c r="J59" s="3">
        <v>1.611</v>
      </c>
    </row>
    <row r="60" spans="1:10" x14ac:dyDescent="0.2">
      <c r="A60" t="s">
        <v>41</v>
      </c>
      <c r="F60" s="3">
        <f>64.439-2.776-12.665-22.534-1.547</f>
        <v>24.916999999999998</v>
      </c>
      <c r="G60" s="3">
        <f>33.997+12.649-1.276-14.408-2.758-F60</f>
        <v>3.286999999999999</v>
      </c>
      <c r="H60" s="3">
        <f>9.084+17.524+0.447+16.856-5.475-SUM(F60:G60)</f>
        <v>10.232000000000003</v>
      </c>
      <c r="I60" s="3">
        <f>+-30.042+1.689+7.071+81.755-5.509-SUM(F60:H60)</f>
        <v>16.527999999999992</v>
      </c>
      <c r="J60" s="3">
        <f>63.437+5.216-22.017-27.789-1.742</f>
        <v>17.104999999999993</v>
      </c>
    </row>
    <row r="61" spans="1:10" x14ac:dyDescent="0.2">
      <c r="A61" t="s">
        <v>58</v>
      </c>
      <c r="F61" s="3">
        <f>SUM(F53:F60)</f>
        <v>38.745999999999995</v>
      </c>
      <c r="G61" s="3">
        <f>SUM(G53:G60)</f>
        <v>30.193000000000008</v>
      </c>
      <c r="H61" s="3">
        <f>SUM(H53:H60)</f>
        <v>42.410999999999987</v>
      </c>
      <c r="I61" s="3">
        <f>SUM(I53:I60)</f>
        <v>31.620999999999992</v>
      </c>
      <c r="J61" s="3">
        <f>SUM(J53:J60)</f>
        <v>50.325999999999993</v>
      </c>
    </row>
    <row r="62" spans="1:10" x14ac:dyDescent="0.2">
      <c r="J62" s="3"/>
    </row>
    <row r="63" spans="1:10" x14ac:dyDescent="0.2">
      <c r="A63" t="s">
        <v>59</v>
      </c>
      <c r="F63" s="3">
        <f>+-0.387-1.023</f>
        <v>-1.41</v>
      </c>
      <c r="G63" s="3">
        <f>+-1.098-2.813-F63</f>
        <v>-2.5010000000000003</v>
      </c>
      <c r="H63" s="3">
        <f>+-1.299-4.707-SUM(F63:G63)</f>
        <v>-2.0949999999999998</v>
      </c>
      <c r="I63" s="3">
        <f>+-1.704-7.052-SUM(F63:H63)</f>
        <v>-2.75</v>
      </c>
      <c r="J63" s="3">
        <f>-0.665-2.532</f>
        <v>-3.1970000000000001</v>
      </c>
    </row>
    <row r="64" spans="1:10" x14ac:dyDescent="0.2">
      <c r="A64" t="s">
        <v>60</v>
      </c>
      <c r="F64" s="3">
        <f>+-48.749+61.299</f>
        <v>12.549999999999997</v>
      </c>
      <c r="G64" s="3">
        <f>+-147.434+148.76-F64</f>
        <v>-11.224000000000004</v>
      </c>
      <c r="H64" s="3">
        <f>+-217.239+242.864-SUM(F64:G64)</f>
        <v>24.299000000000007</v>
      </c>
      <c r="I64" s="3">
        <f>+-278.209+317.651-SUM(F64:H64)</f>
        <v>13.817000000000007</v>
      </c>
      <c r="J64" s="3">
        <f>-77.465+65.57+3.512</f>
        <v>-8.3830000000000098</v>
      </c>
    </row>
    <row r="65" spans="1:10" x14ac:dyDescent="0.2">
      <c r="A65" t="s">
        <v>61</v>
      </c>
      <c r="F65" s="3">
        <v>0</v>
      </c>
      <c r="G65" s="3">
        <v>0</v>
      </c>
      <c r="H65" s="3">
        <v>0</v>
      </c>
      <c r="I65" s="3">
        <v>-243.30099999999999</v>
      </c>
      <c r="J65" s="3">
        <v>0</v>
      </c>
    </row>
    <row r="66" spans="1:10" x14ac:dyDescent="0.2">
      <c r="A66" t="s">
        <v>62</v>
      </c>
      <c r="F66" s="3">
        <f>SUM(F63:F65)</f>
        <v>11.139999999999997</v>
      </c>
      <c r="G66" s="3">
        <f>SUM(G63:G65)</f>
        <v>-13.725000000000005</v>
      </c>
      <c r="H66" s="3">
        <f>SUM(H63:H65)</f>
        <v>22.204000000000008</v>
      </c>
      <c r="I66" s="3">
        <f>SUM(I63:I65)</f>
        <v>-232.23399999999998</v>
      </c>
      <c r="J66" s="3">
        <f>SUM(J63:J65)</f>
        <v>-11.580000000000009</v>
      </c>
    </row>
    <row r="67" spans="1:10" x14ac:dyDescent="0.2">
      <c r="J67" s="3"/>
    </row>
    <row r="68" spans="1:10" x14ac:dyDescent="0.2">
      <c r="A68" t="s">
        <v>63</v>
      </c>
      <c r="F68" s="3">
        <v>-0.93799999999999994</v>
      </c>
      <c r="G68" s="3">
        <f>+-1.875-F68</f>
        <v>-0.93700000000000006</v>
      </c>
      <c r="H68" s="3">
        <f>+-2.813-SUM(F68:G68)</f>
        <v>-0.93800000000000017</v>
      </c>
      <c r="I68" s="3">
        <f>+-3.75-SUM(F68:H68)</f>
        <v>-0.93699999999999983</v>
      </c>
      <c r="J68" s="3">
        <v>-0.93799999999999994</v>
      </c>
    </row>
    <row r="69" spans="1:10" x14ac:dyDescent="0.2">
      <c r="A69" t="s">
        <v>70</v>
      </c>
      <c r="F69" s="3">
        <v>0</v>
      </c>
      <c r="G69" s="3">
        <v>0.42399999999999999</v>
      </c>
      <c r="H69" s="3">
        <f>0.424-SUM(F69:G69)</f>
        <v>0</v>
      </c>
      <c r="I69" s="3">
        <v>0</v>
      </c>
      <c r="J69" s="3">
        <v>0</v>
      </c>
    </row>
    <row r="70" spans="1:10" x14ac:dyDescent="0.2">
      <c r="A70" t="s">
        <v>57</v>
      </c>
      <c r="F70" s="3">
        <v>9.9139999999999997</v>
      </c>
      <c r="G70" s="3">
        <f>9.914-F70</f>
        <v>0</v>
      </c>
      <c r="H70" s="3">
        <f>16.224-SUM(F70:G70)</f>
        <v>6.3100000000000005</v>
      </c>
      <c r="I70" s="3">
        <f ca="1">16.224-SUM(F70:I70)</f>
        <v>0</v>
      </c>
      <c r="J70" s="3">
        <v>9.8840000000000003</v>
      </c>
    </row>
    <row r="71" spans="1:10" x14ac:dyDescent="0.2">
      <c r="A71" t="s">
        <v>64</v>
      </c>
      <c r="F71" s="3">
        <v>0.94199999999999995</v>
      </c>
      <c r="G71" s="3">
        <f>1.537-F71</f>
        <v>0.59499999999999997</v>
      </c>
      <c r="H71" s="3">
        <f>2.421-SUM(F71:G71)</f>
        <v>0.8839999999999999</v>
      </c>
      <c r="I71" s="3">
        <f>3.501-SUM(F71:H71)</f>
        <v>1.08</v>
      </c>
      <c r="J71" s="3">
        <v>1.8740000000000001</v>
      </c>
    </row>
    <row r="72" spans="1:10" x14ac:dyDescent="0.2">
      <c r="A72" t="s">
        <v>73</v>
      </c>
      <c r="F72" s="3">
        <v>0</v>
      </c>
      <c r="G72" s="3">
        <v>0</v>
      </c>
      <c r="H72" s="3">
        <v>0</v>
      </c>
      <c r="I72" s="3">
        <v>-14.933999999999999</v>
      </c>
      <c r="J72" s="3">
        <v>-24.991</v>
      </c>
    </row>
    <row r="73" spans="1:10" x14ac:dyDescent="0.2">
      <c r="A73" t="s">
        <v>34</v>
      </c>
      <c r="F73" s="3">
        <v>-0.128</v>
      </c>
      <c r="G73" s="3">
        <f>+-0.129-F73</f>
        <v>-1.0000000000000009E-3</v>
      </c>
      <c r="H73" s="3">
        <f>+-0.213-SUM(F73:G73)</f>
        <v>-8.3999999999999991E-2</v>
      </c>
      <c r="I73" s="3">
        <f>0.21-SUM(F73:H73)</f>
        <v>0.42299999999999999</v>
      </c>
      <c r="J73" s="3">
        <v>0</v>
      </c>
    </row>
    <row r="74" spans="1:10" x14ac:dyDescent="0.2">
      <c r="A74" t="s">
        <v>65</v>
      </c>
      <c r="F74" s="3">
        <f>SUM(F68:F73)</f>
        <v>9.7899999999999991</v>
      </c>
      <c r="G74" s="3">
        <f>SUM(G68:G73)</f>
        <v>8.099999999999985E-2</v>
      </c>
      <c r="H74" s="3">
        <f>SUM(H68:H73)</f>
        <v>6.1720000000000006</v>
      </c>
      <c r="I74" s="3">
        <f ca="1">SUM(I68:I73)</f>
        <v>6.1720000000000006</v>
      </c>
      <c r="J74" s="3">
        <f>SUM(J68:J73)</f>
        <v>-14.170999999999999</v>
      </c>
    </row>
    <row r="75" spans="1:10" x14ac:dyDescent="0.2">
      <c r="A75" t="s">
        <v>66</v>
      </c>
      <c r="F75" s="3">
        <v>-0.108</v>
      </c>
      <c r="G75" s="3">
        <f>+-1.032-F75</f>
        <v>-0.92400000000000004</v>
      </c>
      <c r="H75" s="3">
        <f>+-2.562-SUM(F75:G75)</f>
        <v>-1.5299999999999998</v>
      </c>
      <c r="I75" s="3">
        <f>+-2.225-SUM(F75:H75)</f>
        <v>0.33699999999999974</v>
      </c>
      <c r="J75" s="3">
        <v>-1.73</v>
      </c>
    </row>
    <row r="76" spans="1:10" x14ac:dyDescent="0.2">
      <c r="A76" t="s">
        <v>67</v>
      </c>
      <c r="F76" s="3">
        <f>+F61+F66+F74+F75</f>
        <v>59.567999999999998</v>
      </c>
      <c r="G76" s="3">
        <f>+G61+G66+G74+G75</f>
        <v>15.625000000000004</v>
      </c>
      <c r="H76" s="3">
        <f>+H61+H66+H74+H75</f>
        <v>69.256999999999991</v>
      </c>
      <c r="I76" s="3">
        <f ca="1">+I61+I66+I74+I75</f>
        <v>69.256999999999991</v>
      </c>
      <c r="J76" s="3">
        <f>+J61+J66+J74+J75</f>
        <v>22.844999999999981</v>
      </c>
    </row>
    <row r="77" spans="1:10" x14ac:dyDescent="0.2">
      <c r="J77" s="3"/>
    </row>
    <row r="78" spans="1:10" x14ac:dyDescent="0.2">
      <c r="A78" t="s">
        <v>69</v>
      </c>
      <c r="F78" s="3">
        <f>+F61+F63</f>
        <v>37.335999999999999</v>
      </c>
      <c r="G78" s="3">
        <f>+G61+G63</f>
        <v>27.692000000000007</v>
      </c>
      <c r="H78" s="3">
        <f>+H61+H63</f>
        <v>40.315999999999988</v>
      </c>
      <c r="I78" s="3">
        <f>+I61+I63</f>
        <v>28.870999999999992</v>
      </c>
      <c r="J78" s="3">
        <f>+J61+J63</f>
        <v>47.128999999999991</v>
      </c>
    </row>
    <row r="79" spans="1:10" x14ac:dyDescent="0.2">
      <c r="A79" t="s">
        <v>68</v>
      </c>
      <c r="F79" s="3">
        <f>+F61+F63-F56</f>
        <v>3.2190000000000012</v>
      </c>
      <c r="G79" s="3">
        <f>+G61+G63-G56</f>
        <v>-10.167999999999999</v>
      </c>
      <c r="H79" s="3">
        <f>+H61+H63-H56</f>
        <v>3.4809999999999945</v>
      </c>
      <c r="I79" s="3">
        <f>+I61+I63-I56</f>
        <v>-7.644000000000009</v>
      </c>
      <c r="J79" s="3">
        <f>+J61+J63-J56</f>
        <v>7.4099999999999895</v>
      </c>
    </row>
    <row r="81" spans="1:10" x14ac:dyDescent="0.2">
      <c r="A81" t="s">
        <v>85</v>
      </c>
      <c r="I81" s="3">
        <f>+SUM(F79:I79)</f>
        <v>-11.112000000000013</v>
      </c>
      <c r="J81" s="3">
        <f>+SUM(G79:J79)</f>
        <v>-6.9210000000000242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2024-03-25T07:25:42Z</dcterms:created>
  <dcterms:modified xsi:type="dcterms:W3CDTF">2024-07-11T21:03:14Z</dcterms:modified>
</cp:coreProperties>
</file>