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Consumer Discretionary\"/>
    </mc:Choice>
  </mc:AlternateContent>
  <xr:revisionPtr revIDLastSave="0" documentId="13_ncr:1_{2F3893AB-A5A7-4D5D-8BF3-916F32AF3C47}" xr6:coauthVersionLast="47" xr6:coauthVersionMax="47" xr10:uidLastSave="{00000000-0000-0000-0000-000000000000}"/>
  <bookViews>
    <workbookView xWindow="14475" yWindow="105" windowWidth="14235" windowHeight="15495" xr2:uid="{3B744C13-0E08-4A3A-B894-8944B145DF8C}"/>
  </bookViews>
  <sheets>
    <sheet name="Main" sheetId="1" r:id="rId1"/>
    <sheet name="Model" sheetId="2" r:id="rId2"/>
    <sheet name="Geographic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9" i="2" l="1"/>
  <c r="AF39" i="2"/>
  <c r="AE39" i="2"/>
  <c r="AG22" i="2"/>
  <c r="AG25" i="2"/>
  <c r="AF22" i="2"/>
  <c r="AE22" i="2"/>
  <c r="AG20" i="2"/>
  <c r="AF20" i="2"/>
  <c r="AE20" i="2"/>
  <c r="S39" i="2"/>
  <c r="R39" i="2"/>
  <c r="Q39" i="2"/>
  <c r="P39" i="2"/>
  <c r="O39" i="2"/>
  <c r="N39" i="2"/>
  <c r="M39" i="2"/>
  <c r="L39" i="2"/>
  <c r="K39" i="2"/>
  <c r="J39" i="2"/>
  <c r="S20" i="2"/>
  <c r="S25" i="2"/>
  <c r="S22" i="2"/>
  <c r="Q22" i="2"/>
  <c r="P22" i="2"/>
  <c r="O22" i="2"/>
  <c r="N22" i="2"/>
  <c r="M22" i="2"/>
  <c r="L22" i="2"/>
  <c r="K22" i="2"/>
  <c r="J22" i="2"/>
  <c r="Q20" i="2"/>
  <c r="P20" i="2"/>
  <c r="O20" i="2"/>
  <c r="N20" i="2"/>
  <c r="M20" i="2"/>
  <c r="L20" i="2"/>
  <c r="K20" i="2"/>
  <c r="J20" i="2"/>
  <c r="AD8" i="2"/>
  <c r="AD7" i="2"/>
  <c r="AD4" i="2"/>
  <c r="AD3" i="2"/>
  <c r="AE8" i="2"/>
  <c r="AE7" i="2"/>
  <c r="AE4" i="2"/>
  <c r="AE3" i="2"/>
  <c r="AF8" i="2"/>
  <c r="AF7" i="2"/>
  <c r="AF9" i="2" s="1"/>
  <c r="AF4" i="2"/>
  <c r="AF3" i="2"/>
  <c r="AF5" i="2" s="1"/>
  <c r="AG8" i="2"/>
  <c r="AG7" i="2"/>
  <c r="AG4" i="2"/>
  <c r="AG3" i="2"/>
  <c r="I9" i="2"/>
  <c r="H9" i="2"/>
  <c r="G9" i="2"/>
  <c r="F9" i="2"/>
  <c r="E9" i="2"/>
  <c r="D9" i="2"/>
  <c r="C9" i="2"/>
  <c r="I5" i="2"/>
  <c r="H5" i="2"/>
  <c r="G5" i="2"/>
  <c r="F5" i="2"/>
  <c r="E5" i="2"/>
  <c r="D5" i="2"/>
  <c r="C5" i="2"/>
  <c r="N9" i="2"/>
  <c r="R9" i="2"/>
  <c r="Q9" i="2"/>
  <c r="P9" i="2"/>
  <c r="O9" i="2"/>
  <c r="M9" i="2"/>
  <c r="L9" i="2"/>
  <c r="K9" i="2"/>
  <c r="J9" i="2"/>
  <c r="S9" i="2"/>
  <c r="R5" i="2"/>
  <c r="Q5" i="2"/>
  <c r="P5" i="2"/>
  <c r="O5" i="2"/>
  <c r="N5" i="2"/>
  <c r="M5" i="2"/>
  <c r="L5" i="2"/>
  <c r="K5" i="2"/>
  <c r="J5" i="2"/>
  <c r="S5" i="2"/>
  <c r="H6" i="3"/>
  <c r="L6" i="3"/>
  <c r="R2" i="3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Q2" i="3"/>
  <c r="S98" i="2"/>
  <c r="S91" i="2"/>
  <c r="S92" i="2" s="1"/>
  <c r="S87" i="2"/>
  <c r="S88" i="2" s="1"/>
  <c r="S106" i="2" s="1"/>
  <c r="S66" i="2"/>
  <c r="S63" i="2"/>
  <c r="S62" i="2"/>
  <c r="S56" i="2"/>
  <c r="S48" i="2"/>
  <c r="S29" i="2"/>
  <c r="S15" i="2"/>
  <c r="S18" i="2" s="1"/>
  <c r="K8" i="1"/>
  <c r="K7" i="1"/>
  <c r="AG5" i="2" l="1"/>
  <c r="AE9" i="2"/>
  <c r="AD5" i="2"/>
  <c r="AD9" i="2"/>
  <c r="AE5" i="2"/>
  <c r="AG9" i="2"/>
  <c r="S65" i="2"/>
  <c r="S67" i="2" s="1"/>
  <c r="S59" i="2"/>
  <c r="S47" i="2"/>
  <c r="S26" i="2"/>
  <c r="AQ31" i="2"/>
  <c r="AP31" i="2"/>
  <c r="AO31" i="2"/>
  <c r="AE63" i="2"/>
  <c r="AE62" i="2"/>
  <c r="AE56" i="2"/>
  <c r="AE48" i="2"/>
  <c r="AF63" i="2"/>
  <c r="AF62" i="2"/>
  <c r="AF56" i="2"/>
  <c r="AF48" i="2"/>
  <c r="AG66" i="2"/>
  <c r="AG63" i="2"/>
  <c r="AG62" i="2"/>
  <c r="AG56" i="2"/>
  <c r="AG48" i="2"/>
  <c r="AH28" i="2"/>
  <c r="AI28" i="2" s="1"/>
  <c r="AJ28" i="2" s="1"/>
  <c r="AK28" i="2" s="1"/>
  <c r="AL28" i="2" s="1"/>
  <c r="AM28" i="2" s="1"/>
  <c r="AN28" i="2" s="1"/>
  <c r="AO28" i="2" s="1"/>
  <c r="AP28" i="2" s="1"/>
  <c r="AQ28" i="2" s="1"/>
  <c r="AH27" i="2"/>
  <c r="N88" i="2"/>
  <c r="M88" i="2"/>
  <c r="L88" i="2"/>
  <c r="R66" i="2"/>
  <c r="O66" i="2"/>
  <c r="P66" i="2"/>
  <c r="Q66" i="2"/>
  <c r="Q63" i="2"/>
  <c r="Q62" i="2"/>
  <c r="R62" i="2"/>
  <c r="R63" i="2"/>
  <c r="R56" i="2"/>
  <c r="R48" i="2"/>
  <c r="Q103" i="2"/>
  <c r="Q56" i="2"/>
  <c r="Q48" i="2"/>
  <c r="AG37" i="2"/>
  <c r="R34" i="2"/>
  <c r="R32" i="2"/>
  <c r="R31" i="2"/>
  <c r="R28" i="2"/>
  <c r="R27" i="2"/>
  <c r="R24" i="2"/>
  <c r="R23" i="2"/>
  <c r="R21" i="2"/>
  <c r="R19" i="2"/>
  <c r="R17" i="2"/>
  <c r="R16" i="2"/>
  <c r="R14" i="2"/>
  <c r="R13" i="2"/>
  <c r="R12" i="2"/>
  <c r="R20" i="2" s="1"/>
  <c r="AE29" i="2"/>
  <c r="AE25" i="2"/>
  <c r="AE15" i="2"/>
  <c r="AE18" i="2" s="1"/>
  <c r="AE45" i="2" s="1"/>
  <c r="AF29" i="2"/>
  <c r="AF25" i="2"/>
  <c r="AF15" i="2"/>
  <c r="AF18" i="2" s="1"/>
  <c r="AG29" i="2"/>
  <c r="AH25" i="2"/>
  <c r="AI25" i="2" s="1"/>
  <c r="AJ25" i="2" s="1"/>
  <c r="AK25" i="2" s="1"/>
  <c r="AL25" i="2" s="1"/>
  <c r="AM25" i="2" s="1"/>
  <c r="AN25" i="2" s="1"/>
  <c r="AO25" i="2" s="1"/>
  <c r="AG15" i="2"/>
  <c r="AG18" i="2" s="1"/>
  <c r="AH18" i="2" s="1"/>
  <c r="Q29" i="2"/>
  <c r="Q25" i="2"/>
  <c r="Q15" i="2"/>
  <c r="Q18" i="2" s="1"/>
  <c r="P101" i="2"/>
  <c r="P100" i="2"/>
  <c r="P99" i="2"/>
  <c r="O102" i="2"/>
  <c r="P97" i="2"/>
  <c r="P96" i="2"/>
  <c r="Q96" i="2" s="1"/>
  <c r="P95" i="2"/>
  <c r="Q95" i="2" s="1"/>
  <c r="P94" i="2"/>
  <c r="Q94" i="2" s="1"/>
  <c r="P90" i="2"/>
  <c r="Q90" i="2" s="1"/>
  <c r="P86" i="2"/>
  <c r="Q86" i="2" s="1"/>
  <c r="R86" i="2" s="1"/>
  <c r="P85" i="2"/>
  <c r="Q85" i="2" s="1"/>
  <c r="R85" i="2" s="1"/>
  <c r="P84" i="2"/>
  <c r="Q84" i="2" s="1"/>
  <c r="P83" i="2"/>
  <c r="P82" i="2"/>
  <c r="Q82" i="2" s="1"/>
  <c r="P81" i="2"/>
  <c r="Q81" i="2" s="1"/>
  <c r="P79" i="2"/>
  <c r="Q79" i="2" s="1"/>
  <c r="R79" i="2" s="1"/>
  <c r="P78" i="2"/>
  <c r="Q78" i="2" s="1"/>
  <c r="P77" i="2"/>
  <c r="P76" i="2"/>
  <c r="P75" i="2"/>
  <c r="P74" i="2"/>
  <c r="Q74" i="2" s="1"/>
  <c r="P73" i="2"/>
  <c r="R22" i="2" l="1"/>
  <c r="Q100" i="2"/>
  <c r="R103" i="2"/>
  <c r="S30" i="2"/>
  <c r="S40" i="2"/>
  <c r="AF45" i="2"/>
  <c r="AE65" i="2"/>
  <c r="AE59" i="2"/>
  <c r="R59" i="2"/>
  <c r="AG65" i="2"/>
  <c r="AG67" i="2" s="1"/>
  <c r="R15" i="2"/>
  <c r="R18" i="2" s="1"/>
  <c r="R25" i="2"/>
  <c r="AH29" i="2"/>
  <c r="AF65" i="2"/>
  <c r="AG47" i="2"/>
  <c r="AH31" i="2" s="1"/>
  <c r="AI18" i="2"/>
  <c r="AH26" i="2"/>
  <c r="AH45" i="2"/>
  <c r="AE47" i="2"/>
  <c r="AI27" i="2"/>
  <c r="AG59" i="2"/>
  <c r="R29" i="2"/>
  <c r="AF59" i="2"/>
  <c r="AG45" i="2"/>
  <c r="AP25" i="2"/>
  <c r="AF47" i="2"/>
  <c r="Q59" i="2"/>
  <c r="Q65" i="2"/>
  <c r="Q67" i="2" s="1"/>
  <c r="Q47" i="2"/>
  <c r="R78" i="2"/>
  <c r="R81" i="2"/>
  <c r="R82" i="2"/>
  <c r="Q77" i="2"/>
  <c r="R77" i="2" s="1"/>
  <c r="Q26" i="2"/>
  <c r="Q40" i="2" s="1"/>
  <c r="R84" i="2"/>
  <c r="Q83" i="2"/>
  <c r="R83" i="2" s="1"/>
  <c r="Q99" i="2"/>
  <c r="R99" i="2" s="1"/>
  <c r="R94" i="2"/>
  <c r="R95" i="2"/>
  <c r="Q97" i="2"/>
  <c r="R97" i="2" s="1"/>
  <c r="P102" i="2"/>
  <c r="Q101" i="2"/>
  <c r="R101" i="2" s="1"/>
  <c r="R96" i="2"/>
  <c r="Q73" i="2"/>
  <c r="R73" i="2" s="1"/>
  <c r="R74" i="2"/>
  <c r="R65" i="2"/>
  <c r="R67" i="2" s="1"/>
  <c r="R90" i="2"/>
  <c r="Q75" i="2"/>
  <c r="R75" i="2" s="1"/>
  <c r="Q76" i="2"/>
  <c r="R76" i="2" s="1"/>
  <c r="R47" i="2"/>
  <c r="AE26" i="2"/>
  <c r="AE30" i="2" s="1"/>
  <c r="AF26" i="2"/>
  <c r="AF40" i="2" s="1"/>
  <c r="AG26" i="2"/>
  <c r="AG40" i="2" s="1"/>
  <c r="P87" i="2"/>
  <c r="P88" i="2" s="1"/>
  <c r="AE66" i="2" l="1"/>
  <c r="AE67" i="2" s="1"/>
  <c r="R100" i="2"/>
  <c r="S102" i="2" s="1"/>
  <c r="S104" i="2" s="1"/>
  <c r="S41" i="2"/>
  <c r="S33" i="2"/>
  <c r="R26" i="2"/>
  <c r="R40" i="2" s="1"/>
  <c r="AH30" i="2"/>
  <c r="AH33" i="2" s="1"/>
  <c r="AF66" i="2"/>
  <c r="AF67" i="2" s="1"/>
  <c r="Q87" i="2"/>
  <c r="Q88" i="2" s="1"/>
  <c r="AJ18" i="2"/>
  <c r="AI45" i="2"/>
  <c r="AI26" i="2"/>
  <c r="AJ27" i="2"/>
  <c r="AI29" i="2"/>
  <c r="AQ25" i="2"/>
  <c r="R87" i="2"/>
  <c r="R88" i="2" s="1"/>
  <c r="R106" i="2" s="1"/>
  <c r="Q30" i="2"/>
  <c r="Q33" i="2" s="1"/>
  <c r="Q102" i="2"/>
  <c r="AE40" i="2"/>
  <c r="AE41" i="2"/>
  <c r="AE33" i="2"/>
  <c r="AF30" i="2"/>
  <c r="AF41" i="2" s="1"/>
  <c r="AG30" i="2"/>
  <c r="AG33" i="2" s="1"/>
  <c r="P106" i="2"/>
  <c r="AI30" i="2" l="1"/>
  <c r="R102" i="2"/>
  <c r="S43" i="2"/>
  <c r="S35" i="2"/>
  <c r="S72" i="2" s="1"/>
  <c r="R30" i="2"/>
  <c r="R41" i="2" s="1"/>
  <c r="Q41" i="2"/>
  <c r="AK18" i="2"/>
  <c r="AJ26" i="2"/>
  <c r="AJ45" i="2"/>
  <c r="AK27" i="2"/>
  <c r="AJ29" i="2"/>
  <c r="AH34" i="2"/>
  <c r="AH35" i="2" s="1"/>
  <c r="Q43" i="2"/>
  <c r="Q35" i="2"/>
  <c r="Q106" i="2"/>
  <c r="S107" i="2" s="1"/>
  <c r="AF33" i="2"/>
  <c r="AF43" i="2" s="1"/>
  <c r="AE35" i="2"/>
  <c r="AE43" i="2"/>
  <c r="AG41" i="2"/>
  <c r="AG43" i="2"/>
  <c r="AG35" i="2"/>
  <c r="S42" i="2" l="1"/>
  <c r="S36" i="2"/>
  <c r="R33" i="2"/>
  <c r="R35" i="2" s="1"/>
  <c r="R42" i="2" s="1"/>
  <c r="AF35" i="2"/>
  <c r="AF42" i="2" s="1"/>
  <c r="AJ30" i="2"/>
  <c r="AH47" i="2"/>
  <c r="AI31" i="2" s="1"/>
  <c r="AI33" i="2" s="1"/>
  <c r="AI34" i="2" s="1"/>
  <c r="AI35" i="2" s="1"/>
  <c r="AI47" i="2" s="1"/>
  <c r="AJ31" i="2" s="1"/>
  <c r="AL27" i="2"/>
  <c r="AK29" i="2"/>
  <c r="AL18" i="2"/>
  <c r="AK26" i="2"/>
  <c r="AK45" i="2"/>
  <c r="Q36" i="2"/>
  <c r="Q72" i="2"/>
  <c r="Q42" i="2"/>
  <c r="AE42" i="2"/>
  <c r="AE36" i="2"/>
  <c r="AG42" i="2"/>
  <c r="AG36" i="2"/>
  <c r="AF36" i="2" l="1"/>
  <c r="R43" i="2"/>
  <c r="R36" i="2"/>
  <c r="R72" i="2"/>
  <c r="AJ33" i="2"/>
  <c r="AJ34" i="2" s="1"/>
  <c r="AJ35" i="2" s="1"/>
  <c r="AJ47" i="2" s="1"/>
  <c r="AK31" i="2" s="1"/>
  <c r="AK30" i="2"/>
  <c r="AM27" i="2"/>
  <c r="AL29" i="2"/>
  <c r="AM18" i="2"/>
  <c r="AL26" i="2"/>
  <c r="AL45" i="2"/>
  <c r="P63" i="2"/>
  <c r="P62" i="2"/>
  <c r="P56" i="2"/>
  <c r="O48" i="2"/>
  <c r="N48" i="2"/>
  <c r="M48" i="2"/>
  <c r="L48" i="2"/>
  <c r="K48" i="2"/>
  <c r="J48" i="2"/>
  <c r="P48" i="2"/>
  <c r="P29" i="2"/>
  <c r="P25" i="2"/>
  <c r="P15" i="2"/>
  <c r="P18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L91" i="2"/>
  <c r="L92" i="2" s="1"/>
  <c r="L104" i="2" s="1"/>
  <c r="M91" i="2"/>
  <c r="M92" i="2" s="1"/>
  <c r="M106" i="2"/>
  <c r="N91" i="2"/>
  <c r="N92" i="2" s="1"/>
  <c r="N106" i="2"/>
  <c r="K91" i="2"/>
  <c r="K92" i="2" s="1"/>
  <c r="O91" i="2"/>
  <c r="K87" i="2"/>
  <c r="K88" i="2" s="1"/>
  <c r="O87" i="2"/>
  <c r="O88" i="2" s="1"/>
  <c r="L61" i="2"/>
  <c r="K61" i="2"/>
  <c r="K62" i="2"/>
  <c r="J63" i="2"/>
  <c r="J62" i="2"/>
  <c r="J56" i="2"/>
  <c r="K63" i="2"/>
  <c r="K56" i="2"/>
  <c r="L63" i="2"/>
  <c r="L62" i="2"/>
  <c r="L56" i="2"/>
  <c r="M56" i="2"/>
  <c r="M63" i="2"/>
  <c r="M62" i="2"/>
  <c r="N63" i="2"/>
  <c r="N62" i="2"/>
  <c r="N56" i="2"/>
  <c r="O63" i="2"/>
  <c r="O62" i="2"/>
  <c r="O56" i="2"/>
  <c r="J15" i="2"/>
  <c r="J18" i="2" s="1"/>
  <c r="J25" i="2"/>
  <c r="J29" i="2"/>
  <c r="K29" i="2"/>
  <c r="K25" i="2"/>
  <c r="K15" i="2"/>
  <c r="K18" i="2" s="1"/>
  <c r="L29" i="2"/>
  <c r="L25" i="2"/>
  <c r="L15" i="2"/>
  <c r="L18" i="2" s="1"/>
  <c r="M29" i="2"/>
  <c r="M25" i="2"/>
  <c r="M15" i="2"/>
  <c r="M18" i="2" s="1"/>
  <c r="N29" i="2"/>
  <c r="N25" i="2"/>
  <c r="N15" i="2"/>
  <c r="N18" i="2" s="1"/>
  <c r="R45" i="2" s="1"/>
  <c r="O29" i="2"/>
  <c r="O25" i="2"/>
  <c r="O15" i="2"/>
  <c r="O18" i="2" s="1"/>
  <c r="S45" i="2" s="1"/>
  <c r="K6" i="1"/>
  <c r="K9" i="1" s="1"/>
  <c r="K11" i="1" s="1"/>
  <c r="J47" i="2" l="1"/>
  <c r="AK33" i="2"/>
  <c r="AM45" i="2"/>
  <c r="AN18" i="2"/>
  <c r="AM26" i="2"/>
  <c r="P47" i="2"/>
  <c r="AL30" i="2"/>
  <c r="AN27" i="2"/>
  <c r="AM29" i="2"/>
  <c r="AM30" i="2" s="1"/>
  <c r="M47" i="2"/>
  <c r="Q45" i="2"/>
  <c r="K47" i="2"/>
  <c r="K104" i="2"/>
  <c r="N47" i="2"/>
  <c r="O59" i="2"/>
  <c r="P65" i="2"/>
  <c r="P67" i="2" s="1"/>
  <c r="O92" i="2"/>
  <c r="O104" i="2" s="1"/>
  <c r="P91" i="2"/>
  <c r="P92" i="2" s="1"/>
  <c r="P104" i="2" s="1"/>
  <c r="N59" i="2"/>
  <c r="M59" i="2"/>
  <c r="L59" i="2"/>
  <c r="O45" i="2"/>
  <c r="P59" i="2"/>
  <c r="L47" i="2"/>
  <c r="O47" i="2"/>
  <c r="J59" i="2"/>
  <c r="K59" i="2"/>
  <c r="L106" i="2"/>
  <c r="K106" i="2"/>
  <c r="P45" i="2"/>
  <c r="M104" i="2"/>
  <c r="O106" i="2"/>
  <c r="R107" i="2" s="1"/>
  <c r="P26" i="2"/>
  <c r="N104" i="2"/>
  <c r="M65" i="2"/>
  <c r="O65" i="2"/>
  <c r="K65" i="2"/>
  <c r="N65" i="2"/>
  <c r="J65" i="2"/>
  <c r="L65" i="2"/>
  <c r="N45" i="2"/>
  <c r="J26" i="2"/>
  <c r="K26" i="2"/>
  <c r="L26" i="2"/>
  <c r="M26" i="2"/>
  <c r="N26" i="2"/>
  <c r="N30" i="2" s="1"/>
  <c r="N33" i="2" s="1"/>
  <c r="O26" i="2"/>
  <c r="N107" i="2" l="1"/>
  <c r="AO27" i="2"/>
  <c r="AN29" i="2"/>
  <c r="AO18" i="2"/>
  <c r="AN45" i="2"/>
  <c r="AN26" i="2"/>
  <c r="Q107" i="2"/>
  <c r="AK34" i="2"/>
  <c r="AK35" i="2" s="1"/>
  <c r="P107" i="2"/>
  <c r="Q91" i="2"/>
  <c r="Q92" i="2" s="1"/>
  <c r="Q104" i="2" s="1"/>
  <c r="N66" i="2"/>
  <c r="N67" i="2" s="1"/>
  <c r="O107" i="2"/>
  <c r="P30" i="2"/>
  <c r="P40" i="2"/>
  <c r="M66" i="2"/>
  <c r="M67" i="2" s="1"/>
  <c r="O67" i="2"/>
  <c r="K66" i="2"/>
  <c r="K67" i="2" s="1"/>
  <c r="J66" i="2"/>
  <c r="J67" i="2" s="1"/>
  <c r="L66" i="2"/>
  <c r="L67" i="2" s="1"/>
  <c r="O40" i="2"/>
  <c r="O30" i="2"/>
  <c r="J40" i="2"/>
  <c r="J30" i="2"/>
  <c r="K30" i="2"/>
  <c r="K40" i="2"/>
  <c r="L40" i="2"/>
  <c r="L30" i="2"/>
  <c r="M40" i="2"/>
  <c r="M30" i="2"/>
  <c r="N41" i="2"/>
  <c r="N40" i="2"/>
  <c r="N43" i="2"/>
  <c r="N35" i="2"/>
  <c r="AN30" i="2" l="1"/>
  <c r="N72" i="2"/>
  <c r="AP18" i="2"/>
  <c r="AO45" i="2"/>
  <c r="AO26" i="2"/>
  <c r="AK47" i="2"/>
  <c r="AL31" i="2" s="1"/>
  <c r="AL33" i="2" s="1"/>
  <c r="AL34" i="2" s="1"/>
  <c r="AL35" i="2" s="1"/>
  <c r="AL47" i="2" s="1"/>
  <c r="AM31" i="2" s="1"/>
  <c r="AM33" i="2" s="1"/>
  <c r="AP27" i="2"/>
  <c r="AO29" i="2"/>
  <c r="R91" i="2"/>
  <c r="R92" i="2" s="1"/>
  <c r="R104" i="2" s="1"/>
  <c r="P33" i="2"/>
  <c r="P41" i="2"/>
  <c r="O41" i="2"/>
  <c r="O33" i="2"/>
  <c r="J41" i="2"/>
  <c r="J33" i="2"/>
  <c r="K33" i="2"/>
  <c r="K41" i="2"/>
  <c r="L41" i="2"/>
  <c r="L33" i="2"/>
  <c r="M33" i="2"/>
  <c r="M41" i="2"/>
  <c r="N42" i="2"/>
  <c r="N36" i="2"/>
  <c r="AQ27" i="2" l="1"/>
  <c r="AQ29" i="2" s="1"/>
  <c r="AP29" i="2"/>
  <c r="AO30" i="2"/>
  <c r="AO33" i="2" s="1"/>
  <c r="AO34" i="2" s="1"/>
  <c r="AO35" i="2" s="1"/>
  <c r="AQ18" i="2"/>
  <c r="AP45" i="2"/>
  <c r="AP26" i="2"/>
  <c r="AM34" i="2"/>
  <c r="P35" i="2"/>
  <c r="P43" i="2"/>
  <c r="O35" i="2"/>
  <c r="O43" i="2"/>
  <c r="J43" i="2"/>
  <c r="J35" i="2"/>
  <c r="K35" i="2"/>
  <c r="K43" i="2"/>
  <c r="L43" i="2"/>
  <c r="L35" i="2"/>
  <c r="M43" i="2"/>
  <c r="M35" i="2"/>
  <c r="P72" i="2" l="1"/>
  <c r="S69" i="2"/>
  <c r="S70" i="2" s="1"/>
  <c r="AP30" i="2"/>
  <c r="AP33" i="2" s="1"/>
  <c r="AP34" i="2" s="1"/>
  <c r="AP35" i="2" s="1"/>
  <c r="M72" i="2"/>
  <c r="P69" i="2"/>
  <c r="P70" i="2" s="1"/>
  <c r="L72" i="2"/>
  <c r="O69" i="2"/>
  <c r="O70" i="2" s="1"/>
  <c r="R69" i="2"/>
  <c r="R70" i="2" s="1"/>
  <c r="Q69" i="2"/>
  <c r="Q70" i="2" s="1"/>
  <c r="K72" i="2"/>
  <c r="N69" i="2"/>
  <c r="N70" i="2" s="1"/>
  <c r="J72" i="2"/>
  <c r="M69" i="2"/>
  <c r="M70" i="2" s="1"/>
  <c r="AQ45" i="2"/>
  <c r="AQ26" i="2"/>
  <c r="AQ30" i="2" s="1"/>
  <c r="AQ33" i="2" s="1"/>
  <c r="AQ34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X35" i="2" s="1"/>
  <c r="DY35" i="2" s="1"/>
  <c r="DZ35" i="2" s="1"/>
  <c r="EA35" i="2" s="1"/>
  <c r="EB35" i="2" s="1"/>
  <c r="EC35" i="2" s="1"/>
  <c r="ED35" i="2" s="1"/>
  <c r="EE35" i="2" s="1"/>
  <c r="EF35" i="2" s="1"/>
  <c r="EG35" i="2" s="1"/>
  <c r="EH35" i="2" s="1"/>
  <c r="EI35" i="2" s="1"/>
  <c r="EJ35" i="2" s="1"/>
  <c r="O72" i="2"/>
  <c r="AM35" i="2"/>
  <c r="P36" i="2"/>
  <c r="P42" i="2"/>
  <c r="O42" i="2"/>
  <c r="O36" i="2"/>
  <c r="J42" i="2"/>
  <c r="J36" i="2"/>
  <c r="K42" i="2"/>
  <c r="K36" i="2"/>
  <c r="L42" i="2"/>
  <c r="L36" i="2"/>
  <c r="M42" i="2"/>
  <c r="M36" i="2"/>
  <c r="AM47" i="2" l="1"/>
  <c r="AN31" i="2" s="1"/>
  <c r="AN33" i="2" s="1"/>
  <c r="AN34" i="2" s="1"/>
  <c r="AN35" i="2" s="1"/>
  <c r="AT40" i="2" s="1"/>
  <c r="AT41" i="2" s="1"/>
</calcChain>
</file>

<file path=xl/sharedStrings.xml><?xml version="1.0" encoding="utf-8"?>
<sst xmlns="http://schemas.openxmlformats.org/spreadsheetml/2006/main" count="157" uniqueCount="123">
  <si>
    <t>Tesla</t>
  </si>
  <si>
    <t>Price</t>
  </si>
  <si>
    <t>Shares</t>
  </si>
  <si>
    <t>MC</t>
  </si>
  <si>
    <t>Cash</t>
  </si>
  <si>
    <t>Debt</t>
  </si>
  <si>
    <t>EV</t>
  </si>
  <si>
    <t xml:space="preserve">Revenue </t>
  </si>
  <si>
    <t>Q123</t>
  </si>
  <si>
    <t>Q124</t>
  </si>
  <si>
    <t>Gross profit</t>
  </si>
  <si>
    <t>Gross margin</t>
  </si>
  <si>
    <t>Operating margin</t>
  </si>
  <si>
    <t>Net margin</t>
  </si>
  <si>
    <t>Tax rate</t>
  </si>
  <si>
    <t>Revenue y/y</t>
  </si>
  <si>
    <t>R&amp;D</t>
  </si>
  <si>
    <t>SG&amp;A</t>
  </si>
  <si>
    <t>OpInc</t>
  </si>
  <si>
    <t>OpExp</t>
  </si>
  <si>
    <t>Interest income</t>
  </si>
  <si>
    <t>Interest expense</t>
  </si>
  <si>
    <t>Other</t>
  </si>
  <si>
    <t>Pretax</t>
  </si>
  <si>
    <t>Taxes</t>
  </si>
  <si>
    <t>Net income</t>
  </si>
  <si>
    <t>EPS</t>
  </si>
  <si>
    <t>Q423</t>
  </si>
  <si>
    <t>Q323</t>
  </si>
  <si>
    <t>Q223</t>
  </si>
  <si>
    <t>Q422</t>
  </si>
  <si>
    <t>Net cash</t>
  </si>
  <si>
    <t>A/R</t>
  </si>
  <si>
    <t>Inventory</t>
  </si>
  <si>
    <t>Prepaid</t>
  </si>
  <si>
    <t>Lease</t>
  </si>
  <si>
    <t>Solar energy</t>
  </si>
  <si>
    <t>PP&amp;E</t>
  </si>
  <si>
    <t>Lease vehicles</t>
  </si>
  <si>
    <t>Digital assets</t>
  </si>
  <si>
    <t>Goodwill</t>
  </si>
  <si>
    <t>D/T</t>
  </si>
  <si>
    <t>Non-currrent</t>
  </si>
  <si>
    <t>Assets</t>
  </si>
  <si>
    <t>A/P</t>
  </si>
  <si>
    <t>Accrued</t>
  </si>
  <si>
    <t>D/R</t>
  </si>
  <si>
    <t>S/E</t>
  </si>
  <si>
    <t>L+S/E</t>
  </si>
  <si>
    <t>Liabilities</t>
  </si>
  <si>
    <t>Model NI</t>
  </si>
  <si>
    <t>Reported NI</t>
  </si>
  <si>
    <t>D&amp;A</t>
  </si>
  <si>
    <t>SBC</t>
  </si>
  <si>
    <t>Working capital</t>
  </si>
  <si>
    <t>CFFO</t>
  </si>
  <si>
    <t>CapEx</t>
  </si>
  <si>
    <t>Investments</t>
  </si>
  <si>
    <t>CFFI</t>
  </si>
  <si>
    <t>Repayment of debt</t>
  </si>
  <si>
    <t>Issuance of debt</t>
  </si>
  <si>
    <t>Finance lease</t>
  </si>
  <si>
    <t>Issuance stock</t>
  </si>
  <si>
    <t>CFFF</t>
  </si>
  <si>
    <t>FX</t>
  </si>
  <si>
    <t>CIC</t>
  </si>
  <si>
    <t>FCF</t>
  </si>
  <si>
    <t>TTM</t>
  </si>
  <si>
    <t>Inventory write downs</t>
  </si>
  <si>
    <t>Foreign currency transaction</t>
  </si>
  <si>
    <t>Q224</t>
  </si>
  <si>
    <t>Q324</t>
  </si>
  <si>
    <t>Debt issuance cost</t>
  </si>
  <si>
    <t>Paid to noncontrolling interests</t>
  </si>
  <si>
    <t>Buy-outs</t>
  </si>
  <si>
    <t>Q424</t>
  </si>
  <si>
    <t>Revenue</t>
  </si>
  <si>
    <t>Toyota</t>
  </si>
  <si>
    <t>P/E</t>
  </si>
  <si>
    <t>Cars sold</t>
  </si>
  <si>
    <t>Terminal</t>
  </si>
  <si>
    <t>Discount</t>
  </si>
  <si>
    <t>NPV</t>
  </si>
  <si>
    <t>Upside</t>
  </si>
  <si>
    <t>TTM NI</t>
  </si>
  <si>
    <t>ROTA</t>
  </si>
  <si>
    <t>Q125</t>
  </si>
  <si>
    <t>Settlement</t>
  </si>
  <si>
    <t>Main</t>
  </si>
  <si>
    <t>United States</t>
  </si>
  <si>
    <t>China</t>
  </si>
  <si>
    <t>Other International</t>
  </si>
  <si>
    <t>Total</t>
  </si>
  <si>
    <t>Model 3/Y production</t>
  </si>
  <si>
    <t>Other model production</t>
  </si>
  <si>
    <t>Total production</t>
  </si>
  <si>
    <t>Model 3/y deliveries</t>
  </si>
  <si>
    <t>Other model deliveries</t>
  </si>
  <si>
    <t>Total deliveries</t>
  </si>
  <si>
    <t>Q121</t>
  </si>
  <si>
    <t>Q221</t>
  </si>
  <si>
    <t>Q321</t>
  </si>
  <si>
    <t>Q421</t>
  </si>
  <si>
    <t>Q122</t>
  </si>
  <si>
    <t>Q222</t>
  </si>
  <si>
    <t>Q322</t>
  </si>
  <si>
    <t>Automotive Product</t>
  </si>
  <si>
    <t>Automotive Credits</t>
  </si>
  <si>
    <t>Automotive Licensing</t>
  </si>
  <si>
    <t>Software Revenue</t>
  </si>
  <si>
    <t>Automotive Revenue</t>
  </si>
  <si>
    <t>Energy</t>
  </si>
  <si>
    <t>Service</t>
  </si>
  <si>
    <t>Automotive Product COGS</t>
  </si>
  <si>
    <t>Car Gross margin</t>
  </si>
  <si>
    <t>Automotive Leasing COGS</t>
  </si>
  <si>
    <t>Automotive COGS</t>
  </si>
  <si>
    <t>Energy COGS</t>
  </si>
  <si>
    <t>Service COGS</t>
  </si>
  <si>
    <t>Total COGS</t>
  </si>
  <si>
    <t>Car gross margin</t>
  </si>
  <si>
    <t>Q225</t>
  </si>
  <si>
    <t>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</si>
</sst>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d/mm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9" fontId="1" fillId="0" borderId="0" xfId="0" applyNumberFormat="1" applyFont="1"/>
    <xf numFmtId="3" fontId="0" fillId="0" borderId="0" xfId="0" applyNumberFormat="1" applyAlignment="1"/>
    <xf numFmtId="0" fontId="3" fillId="0" borderId="0" xfId="1"/>
    <xf numFmtId="165" fontId="3" fillId="0" borderId="0" xfId="1" applyNumberFormat="1"/>
    <xf numFmtId="0" fontId="0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0</xdr:rowOff>
    </xdr:from>
    <xdr:to>
      <xdr:col>33</xdr:col>
      <xdr:colOff>19050</xdr:colOff>
      <xdr:row>113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CC6D66-685E-5399-34A9-A25E48AE5D78}"/>
            </a:ext>
          </a:extLst>
        </xdr:cNvPr>
        <xdr:cNvCxnSpPr/>
      </xdr:nvCxnSpPr>
      <xdr:spPr>
        <a:xfrm>
          <a:off x="17049750" y="95250"/>
          <a:ext cx="0" cy="1651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28575</xdr:rowOff>
    </xdr:from>
    <xdr:to>
      <xdr:col>19</xdr:col>
      <xdr:colOff>19050</xdr:colOff>
      <xdr:row>127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5E2206C-61A8-71B2-E7D2-BD0D0F3F5896}"/>
            </a:ext>
          </a:extLst>
        </xdr:cNvPr>
        <xdr:cNvCxnSpPr/>
      </xdr:nvCxnSpPr>
      <xdr:spPr>
        <a:xfrm>
          <a:off x="8448675" y="28575"/>
          <a:ext cx="0" cy="1889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C436-4A2E-4206-8582-9D17FC6427F4}">
  <dimension ref="A1:L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defaultRowHeight="12.75" x14ac:dyDescent="0.2"/>
  <cols>
    <col min="1" max="1" width="5" bestFit="1" customWidth="1"/>
  </cols>
  <sheetData>
    <row r="1" spans="1:12" x14ac:dyDescent="0.2">
      <c r="A1" s="15" t="s">
        <v>88</v>
      </c>
    </row>
    <row r="2" spans="1:12" x14ac:dyDescent="0.2">
      <c r="A2" s="1"/>
    </row>
    <row r="3" spans="1:12" x14ac:dyDescent="0.2">
      <c r="A3" s="1"/>
    </row>
    <row r="4" spans="1:12" x14ac:dyDescent="0.2">
      <c r="C4" s="2"/>
      <c r="J4" t="s">
        <v>1</v>
      </c>
      <c r="K4" s="2">
        <v>250.74</v>
      </c>
    </row>
    <row r="5" spans="1:12" x14ac:dyDescent="0.2">
      <c r="C5" s="2"/>
      <c r="J5" t="s">
        <v>2</v>
      </c>
      <c r="K5" s="2">
        <v>3220.9562110000002</v>
      </c>
      <c r="L5" s="9" t="s">
        <v>86</v>
      </c>
    </row>
    <row r="6" spans="1:12" x14ac:dyDescent="0.2">
      <c r="J6" t="s">
        <v>3</v>
      </c>
      <c r="K6" s="2">
        <f>+K4*K5</f>
        <v>807622.56034614006</v>
      </c>
      <c r="L6" s="9"/>
    </row>
    <row r="7" spans="1:12" x14ac:dyDescent="0.2">
      <c r="J7" t="s">
        <v>4</v>
      </c>
      <c r="K7" s="2">
        <f>16352+20644</f>
        <v>36996</v>
      </c>
      <c r="L7" s="9" t="s">
        <v>86</v>
      </c>
    </row>
    <row r="8" spans="1:12" x14ac:dyDescent="0.2">
      <c r="J8" t="s">
        <v>5</v>
      </c>
      <c r="K8" s="2">
        <f>2237+5292</f>
        <v>7529</v>
      </c>
      <c r="L8" s="9" t="s">
        <v>86</v>
      </c>
    </row>
    <row r="9" spans="1:12" x14ac:dyDescent="0.2">
      <c r="J9" t="s">
        <v>6</v>
      </c>
      <c r="K9" s="2">
        <f>+K6-K7+K8</f>
        <v>778155.56034614006</v>
      </c>
    </row>
    <row r="10" spans="1:12" x14ac:dyDescent="0.2">
      <c r="K10" s="2">
        <v>6779</v>
      </c>
    </row>
    <row r="11" spans="1:12" x14ac:dyDescent="0.2">
      <c r="K11" s="8">
        <f>+K9/K10</f>
        <v>114.78913709192211</v>
      </c>
    </row>
    <row r="12" spans="1:12" x14ac:dyDescent="0.2">
      <c r="K12" s="2"/>
    </row>
    <row r="13" spans="1:12" x14ac:dyDescent="0.2"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BFA0-1205-4960-A175-655F3C6C4E0C}">
  <dimension ref="A1:EJ122"/>
  <sheetViews>
    <sheetView workbookViewId="0">
      <pane xSplit="2" ySplit="2" topLeftCell="Y3" activePane="bottomRight" state="frozen"/>
      <selection pane="topRight" activeCell="B1" sqref="B1"/>
      <selection pane="bottomLeft" activeCell="A4" sqref="A4"/>
      <selection pane="bottomRight" activeCell="V28" sqref="V28"/>
    </sheetView>
  </sheetViews>
  <sheetFormatPr defaultRowHeight="12.75" x14ac:dyDescent="0.2"/>
  <cols>
    <col min="1" max="1" width="5" style="2" bestFit="1" customWidth="1"/>
    <col min="2" max="2" width="29" style="2" bestFit="1" customWidth="1"/>
    <col min="3" max="10" width="9.140625" style="2" customWidth="1"/>
    <col min="11" max="13" width="10.140625" style="2" bestFit="1" customWidth="1"/>
    <col min="14" max="14" width="11.140625" style="2" bestFit="1" customWidth="1"/>
    <col min="15" max="15" width="10.140625" style="2" bestFit="1" customWidth="1"/>
    <col min="16" max="18" width="9.140625" style="2"/>
    <col min="19" max="19" width="10.140625" style="2" bestFit="1" customWidth="1"/>
    <col min="20" max="45" width="9.140625" style="2"/>
    <col min="46" max="46" width="10.140625" style="2" bestFit="1" customWidth="1"/>
    <col min="47" max="16384" width="9.140625" style="2"/>
  </cols>
  <sheetData>
    <row r="1" spans="1:51" s="10" customFormat="1" x14ac:dyDescent="0.2">
      <c r="A1" s="14" t="s">
        <v>88</v>
      </c>
      <c r="J1" s="10">
        <v>44926</v>
      </c>
      <c r="K1" s="10">
        <v>45016</v>
      </c>
      <c r="L1" s="10">
        <v>45107</v>
      </c>
      <c r="M1" s="10">
        <v>45199</v>
      </c>
      <c r="N1" s="10">
        <v>45291</v>
      </c>
      <c r="O1" s="10">
        <v>45382</v>
      </c>
      <c r="P1" s="10">
        <v>45473</v>
      </c>
      <c r="Q1" s="10">
        <v>45565</v>
      </c>
      <c r="R1" s="10">
        <v>45657</v>
      </c>
      <c r="S1" s="10">
        <v>45747</v>
      </c>
    </row>
    <row r="2" spans="1:51" s="5" customFormat="1" x14ac:dyDescent="0.2">
      <c r="C2" s="5" t="s">
        <v>99</v>
      </c>
      <c r="D2" s="5" t="s">
        <v>100</v>
      </c>
      <c r="E2" s="5" t="s">
        <v>101</v>
      </c>
      <c r="F2" s="5" t="s">
        <v>102</v>
      </c>
      <c r="G2" s="5" t="s">
        <v>103</v>
      </c>
      <c r="H2" s="5" t="s">
        <v>104</v>
      </c>
      <c r="I2" s="5" t="s">
        <v>105</v>
      </c>
      <c r="J2" s="5" t="s">
        <v>30</v>
      </c>
      <c r="K2" s="5" t="s">
        <v>8</v>
      </c>
      <c r="L2" s="5" t="s">
        <v>29</v>
      </c>
      <c r="M2" s="5" t="s">
        <v>28</v>
      </c>
      <c r="N2" s="5" t="s">
        <v>27</v>
      </c>
      <c r="O2" s="5" t="s">
        <v>9</v>
      </c>
      <c r="P2" s="5" t="s">
        <v>70</v>
      </c>
      <c r="Q2" s="5" t="s">
        <v>71</v>
      </c>
      <c r="R2" s="5" t="s">
        <v>75</v>
      </c>
      <c r="S2" s="5" t="s">
        <v>86</v>
      </c>
      <c r="T2" s="5" t="s">
        <v>121</v>
      </c>
      <c r="U2" s="5" t="s">
        <v>122</v>
      </c>
      <c r="W2" s="9">
        <v>2014</v>
      </c>
      <c r="X2" s="9">
        <f>+W2+1</f>
        <v>2015</v>
      </c>
      <c r="Y2" s="9">
        <f t="shared" ref="Y2:AW2" si="0">+X2+1</f>
        <v>2016</v>
      </c>
      <c r="Z2" s="9">
        <f t="shared" si="0"/>
        <v>2017</v>
      </c>
      <c r="AA2" s="9">
        <f t="shared" si="0"/>
        <v>2018</v>
      </c>
      <c r="AB2" s="9">
        <f t="shared" si="0"/>
        <v>2019</v>
      </c>
      <c r="AC2" s="9">
        <f t="shared" si="0"/>
        <v>2020</v>
      </c>
      <c r="AD2" s="9">
        <f t="shared" si="0"/>
        <v>2021</v>
      </c>
      <c r="AE2" s="9">
        <f t="shared" si="0"/>
        <v>2022</v>
      </c>
      <c r="AF2" s="9">
        <f t="shared" si="0"/>
        <v>2023</v>
      </c>
      <c r="AG2" s="9">
        <f t="shared" si="0"/>
        <v>2024</v>
      </c>
      <c r="AH2" s="9">
        <f t="shared" si="0"/>
        <v>2025</v>
      </c>
      <c r="AI2" s="9">
        <f t="shared" si="0"/>
        <v>2026</v>
      </c>
      <c r="AJ2" s="9">
        <f t="shared" si="0"/>
        <v>2027</v>
      </c>
      <c r="AK2" s="9">
        <f t="shared" si="0"/>
        <v>2028</v>
      </c>
      <c r="AL2" s="9">
        <f t="shared" si="0"/>
        <v>2029</v>
      </c>
      <c r="AM2" s="9">
        <f t="shared" si="0"/>
        <v>2030</v>
      </c>
      <c r="AN2" s="9">
        <f t="shared" si="0"/>
        <v>2031</v>
      </c>
      <c r="AO2" s="9">
        <f t="shared" si="0"/>
        <v>2032</v>
      </c>
      <c r="AP2" s="9">
        <f t="shared" si="0"/>
        <v>2033</v>
      </c>
      <c r="AQ2" s="9">
        <f t="shared" si="0"/>
        <v>2034</v>
      </c>
      <c r="AR2" s="9">
        <f t="shared" si="0"/>
        <v>2035</v>
      </c>
      <c r="AS2" s="9">
        <f t="shared" si="0"/>
        <v>2036</v>
      </c>
      <c r="AT2" s="9">
        <f t="shared" si="0"/>
        <v>2037</v>
      </c>
      <c r="AU2" s="9">
        <f t="shared" si="0"/>
        <v>2038</v>
      </c>
      <c r="AV2" s="9">
        <f t="shared" si="0"/>
        <v>2039</v>
      </c>
      <c r="AW2" s="9">
        <f t="shared" si="0"/>
        <v>2040</v>
      </c>
      <c r="AX2" s="9"/>
      <c r="AY2" s="9"/>
    </row>
    <row r="3" spans="1:51" s="16" customFormat="1" x14ac:dyDescent="0.2">
      <c r="B3" s="12" t="s">
        <v>93</v>
      </c>
      <c r="C3" s="16">
        <v>180338</v>
      </c>
      <c r="D3" s="16">
        <v>204081</v>
      </c>
      <c r="E3" s="16">
        <v>228882</v>
      </c>
      <c r="F3" s="16">
        <v>292731</v>
      </c>
      <c r="G3" s="16">
        <v>291189</v>
      </c>
      <c r="H3" s="16">
        <v>242169</v>
      </c>
      <c r="I3" s="16">
        <v>345988</v>
      </c>
      <c r="J3" s="16">
        <v>419088</v>
      </c>
      <c r="K3" s="16">
        <v>421371</v>
      </c>
      <c r="L3" s="16">
        <v>460211</v>
      </c>
      <c r="M3" s="16">
        <v>416800</v>
      </c>
      <c r="N3" s="16">
        <v>476777</v>
      </c>
      <c r="O3" s="16">
        <v>412376</v>
      </c>
      <c r="P3" s="16">
        <v>386576</v>
      </c>
      <c r="Q3" s="16">
        <v>443668</v>
      </c>
      <c r="R3" s="16">
        <v>436718</v>
      </c>
      <c r="S3" s="16">
        <v>345454</v>
      </c>
      <c r="AD3" s="16">
        <f>+SUM(C3:F3)</f>
        <v>906032</v>
      </c>
      <c r="AE3" s="16">
        <f>+SUM(G3:J3)</f>
        <v>1298434</v>
      </c>
      <c r="AF3" s="16">
        <f>+SUM(K3:N3)</f>
        <v>1775159</v>
      </c>
      <c r="AG3" s="16">
        <f>+SUM(O3:R3)</f>
        <v>1679338</v>
      </c>
    </row>
    <row r="4" spans="1:51" s="16" customFormat="1" x14ac:dyDescent="0.2">
      <c r="B4" s="12" t="s">
        <v>94</v>
      </c>
      <c r="C4" s="16">
        <v>0</v>
      </c>
      <c r="D4" s="16">
        <v>2340</v>
      </c>
      <c r="E4" s="16">
        <v>8941</v>
      </c>
      <c r="F4" s="16">
        <v>13109</v>
      </c>
      <c r="G4" s="16">
        <v>14218</v>
      </c>
      <c r="H4" s="16">
        <v>16411</v>
      </c>
      <c r="I4" s="16">
        <v>19935</v>
      </c>
      <c r="J4" s="16">
        <v>20613</v>
      </c>
      <c r="K4" s="16">
        <v>19437</v>
      </c>
      <c r="L4" s="16">
        <v>19489</v>
      </c>
      <c r="M4" s="16">
        <v>13688</v>
      </c>
      <c r="N4" s="16">
        <v>18212</v>
      </c>
      <c r="O4" s="16">
        <v>20995</v>
      </c>
      <c r="P4" s="16">
        <v>24255</v>
      </c>
      <c r="Q4" s="16">
        <v>26128</v>
      </c>
      <c r="R4" s="16">
        <v>22727</v>
      </c>
      <c r="S4" s="16">
        <v>17161</v>
      </c>
      <c r="AD4" s="16">
        <f>+SUM(C4:F4)</f>
        <v>24390</v>
      </c>
      <c r="AE4" s="16">
        <f>+SUM(G4:J4)</f>
        <v>71177</v>
      </c>
      <c r="AF4" s="16">
        <f>+SUM(K4:N4)</f>
        <v>70826</v>
      </c>
      <c r="AG4" s="16">
        <f>+SUM(O4:R4)</f>
        <v>94105</v>
      </c>
    </row>
    <row r="5" spans="1:51" s="16" customFormat="1" x14ac:dyDescent="0.2">
      <c r="B5" s="3" t="s">
        <v>95</v>
      </c>
      <c r="C5" s="16">
        <f t="shared" ref="C5:I5" si="1">+SUM(C3:C4)</f>
        <v>180338</v>
      </c>
      <c r="D5" s="16">
        <f t="shared" si="1"/>
        <v>206421</v>
      </c>
      <c r="E5" s="16">
        <f t="shared" si="1"/>
        <v>237823</v>
      </c>
      <c r="F5" s="16">
        <f t="shared" si="1"/>
        <v>305840</v>
      </c>
      <c r="G5" s="16">
        <f t="shared" si="1"/>
        <v>305407</v>
      </c>
      <c r="H5" s="16">
        <f t="shared" si="1"/>
        <v>258580</v>
      </c>
      <c r="I5" s="16">
        <f t="shared" si="1"/>
        <v>365923</v>
      </c>
      <c r="J5" s="16">
        <f>+SUM(J3:J4)</f>
        <v>439701</v>
      </c>
      <c r="K5" s="16">
        <f t="shared" ref="K5:R5" si="2">+SUM(K3:K4)</f>
        <v>440808</v>
      </c>
      <c r="L5" s="16">
        <f t="shared" si="2"/>
        <v>479700</v>
      </c>
      <c r="M5" s="16">
        <f t="shared" si="2"/>
        <v>430488</v>
      </c>
      <c r="N5" s="16">
        <f t="shared" si="2"/>
        <v>494989</v>
      </c>
      <c r="O5" s="16">
        <f t="shared" si="2"/>
        <v>433371</v>
      </c>
      <c r="P5" s="16">
        <f t="shared" si="2"/>
        <v>410831</v>
      </c>
      <c r="Q5" s="16">
        <f t="shared" si="2"/>
        <v>469796</v>
      </c>
      <c r="R5" s="16">
        <f t="shared" si="2"/>
        <v>459445</v>
      </c>
      <c r="S5" s="16">
        <f>+SUM(S3:S4)</f>
        <v>362615</v>
      </c>
      <c r="AD5" s="16">
        <f>+SUM(AD3:AD4)</f>
        <v>930422</v>
      </c>
      <c r="AE5" s="16">
        <f>+SUM(AE3:AE4)</f>
        <v>1369611</v>
      </c>
      <c r="AF5" s="16">
        <f>+SUM(AF3:AF4)</f>
        <v>1845985</v>
      </c>
      <c r="AG5" s="16">
        <f>+SUM(AG3:AG4)</f>
        <v>1773443</v>
      </c>
    </row>
    <row r="6" spans="1:51" s="16" customFormat="1" x14ac:dyDescent="0.2">
      <c r="B6" s="12"/>
    </row>
    <row r="7" spans="1:51" s="16" customFormat="1" x14ac:dyDescent="0.2">
      <c r="B7" s="12" t="s">
        <v>96</v>
      </c>
      <c r="C7" s="16">
        <v>182847</v>
      </c>
      <c r="D7" s="16">
        <v>199409</v>
      </c>
      <c r="E7" s="16">
        <v>232102</v>
      </c>
      <c r="F7" s="16">
        <v>296884</v>
      </c>
      <c r="G7" s="16">
        <v>295324</v>
      </c>
      <c r="H7" s="16">
        <v>238533</v>
      </c>
      <c r="I7" s="16">
        <v>325158</v>
      </c>
      <c r="J7" s="16">
        <v>388131</v>
      </c>
      <c r="K7" s="16">
        <v>412180</v>
      </c>
      <c r="L7" s="16">
        <v>446915</v>
      </c>
      <c r="M7" s="16">
        <v>419074</v>
      </c>
      <c r="N7" s="16">
        <v>461538</v>
      </c>
      <c r="O7" s="16">
        <v>369783</v>
      </c>
      <c r="P7" s="16">
        <v>422405</v>
      </c>
      <c r="Q7" s="16">
        <v>439975</v>
      </c>
      <c r="R7" s="16">
        <v>471930</v>
      </c>
      <c r="S7" s="16">
        <v>323800</v>
      </c>
      <c r="AD7" s="16">
        <f>+SUM(C7:F7)</f>
        <v>911242</v>
      </c>
      <c r="AE7" s="16">
        <f>+SUM(G7:J7)</f>
        <v>1247146</v>
      </c>
      <c r="AF7" s="16">
        <f>+SUM(K7:N7)</f>
        <v>1739707</v>
      </c>
      <c r="AG7" s="16">
        <f>+SUM(O7:R7)</f>
        <v>1704093</v>
      </c>
    </row>
    <row r="8" spans="1:51" s="16" customFormat="1" x14ac:dyDescent="0.2">
      <c r="B8" s="12" t="s">
        <v>97</v>
      </c>
      <c r="C8" s="16">
        <v>2030</v>
      </c>
      <c r="D8" s="16">
        <v>1895</v>
      </c>
      <c r="E8" s="16">
        <v>9289</v>
      </c>
      <c r="F8" s="16">
        <v>11766</v>
      </c>
      <c r="G8" s="16">
        <v>14724</v>
      </c>
      <c r="H8" s="16">
        <v>16162</v>
      </c>
      <c r="I8" s="16">
        <v>18672</v>
      </c>
      <c r="J8" s="16">
        <v>17147</v>
      </c>
      <c r="K8" s="16">
        <v>10695</v>
      </c>
      <c r="L8" s="16">
        <v>19225</v>
      </c>
      <c r="M8" s="16">
        <v>15985</v>
      </c>
      <c r="N8" s="16">
        <v>22969</v>
      </c>
      <c r="O8" s="16">
        <v>17027</v>
      </c>
      <c r="P8" s="16">
        <v>21551</v>
      </c>
      <c r="Q8" s="16">
        <v>22915</v>
      </c>
      <c r="R8" s="16">
        <v>23640</v>
      </c>
      <c r="S8" s="16">
        <v>12881</v>
      </c>
      <c r="AD8" s="16">
        <f>+SUM(C8:F8)</f>
        <v>24980</v>
      </c>
      <c r="AE8" s="16">
        <f>+SUM(G8:J8)</f>
        <v>66705</v>
      </c>
      <c r="AF8" s="16">
        <f>+SUM(K8:N8)</f>
        <v>68874</v>
      </c>
      <c r="AG8" s="16">
        <f>+SUM(O8:R8)</f>
        <v>85133</v>
      </c>
    </row>
    <row r="9" spans="1:51" s="16" customFormat="1" x14ac:dyDescent="0.2">
      <c r="B9" s="3" t="s">
        <v>98</v>
      </c>
      <c r="C9" s="16">
        <f t="shared" ref="C9:I9" si="3">+SUM(C7:C8)</f>
        <v>184877</v>
      </c>
      <c r="D9" s="16">
        <f t="shared" si="3"/>
        <v>201304</v>
      </c>
      <c r="E9" s="16">
        <f t="shared" si="3"/>
        <v>241391</v>
      </c>
      <c r="F9" s="16">
        <f t="shared" si="3"/>
        <v>308650</v>
      </c>
      <c r="G9" s="16">
        <f t="shared" si="3"/>
        <v>310048</v>
      </c>
      <c r="H9" s="16">
        <f t="shared" si="3"/>
        <v>254695</v>
      </c>
      <c r="I9" s="16">
        <f t="shared" si="3"/>
        <v>343830</v>
      </c>
      <c r="J9" s="16">
        <f>+SUM(J7:J8)</f>
        <v>405278</v>
      </c>
      <c r="K9" s="16">
        <f t="shared" ref="K9:R9" si="4">+SUM(K7:K8)</f>
        <v>422875</v>
      </c>
      <c r="L9" s="16">
        <f t="shared" si="4"/>
        <v>466140</v>
      </c>
      <c r="M9" s="16">
        <f t="shared" si="4"/>
        <v>435059</v>
      </c>
      <c r="N9" s="16">
        <f>+SUM(N7:N8)</f>
        <v>484507</v>
      </c>
      <c r="O9" s="16">
        <f t="shared" si="4"/>
        <v>386810</v>
      </c>
      <c r="P9" s="16">
        <f t="shared" si="4"/>
        <v>443956</v>
      </c>
      <c r="Q9" s="16">
        <f t="shared" si="4"/>
        <v>462890</v>
      </c>
      <c r="R9" s="16">
        <f t="shared" si="4"/>
        <v>495570</v>
      </c>
      <c r="S9" s="16">
        <f>+SUM(S7:S8)</f>
        <v>336681</v>
      </c>
      <c r="AD9" s="16">
        <f>+SUM(AD7:AD8)</f>
        <v>936222</v>
      </c>
      <c r="AE9" s="16">
        <f>+SUM(AE7:AE8)</f>
        <v>1313851</v>
      </c>
      <c r="AF9" s="16">
        <f>+SUM(AF7:AF8)</f>
        <v>1808581</v>
      </c>
      <c r="AG9" s="16">
        <f>+SUM(AG7:AG8)</f>
        <v>1789226</v>
      </c>
    </row>
    <row r="10" spans="1:51" s="16" customFormat="1" x14ac:dyDescent="0.2">
      <c r="B10" s="3"/>
    </row>
    <row r="11" spans="1:51" s="16" customFormat="1" x14ac:dyDescent="0.2">
      <c r="B11" s="12" t="s">
        <v>109</v>
      </c>
    </row>
    <row r="12" spans="1:51" x14ac:dyDescent="0.2">
      <c r="B12" s="12" t="s">
        <v>106</v>
      </c>
      <c r="J12" s="2">
        <v>20241</v>
      </c>
      <c r="K12" s="2">
        <v>18878</v>
      </c>
      <c r="L12" s="2">
        <v>20419</v>
      </c>
      <c r="M12" s="2">
        <v>18582</v>
      </c>
      <c r="N12" s="2">
        <v>20630</v>
      </c>
      <c r="O12" s="2">
        <v>16460</v>
      </c>
      <c r="P12" s="2">
        <v>18530</v>
      </c>
      <c r="Q12" s="2">
        <v>18831</v>
      </c>
      <c r="R12" s="2">
        <f>+AG12-SUM(O12:Q12)</f>
        <v>18659</v>
      </c>
      <c r="S12" s="2">
        <v>12925</v>
      </c>
      <c r="AE12" s="2">
        <v>67210</v>
      </c>
      <c r="AF12" s="2">
        <v>78509</v>
      </c>
      <c r="AG12" s="2">
        <v>72480</v>
      </c>
    </row>
    <row r="13" spans="1:51" x14ac:dyDescent="0.2">
      <c r="B13" s="12" t="s">
        <v>107</v>
      </c>
      <c r="J13" s="2">
        <v>467</v>
      </c>
      <c r="K13" s="2">
        <v>521</v>
      </c>
      <c r="L13" s="2">
        <v>282</v>
      </c>
      <c r="M13" s="2">
        <v>554</v>
      </c>
      <c r="N13" s="2">
        <v>433</v>
      </c>
      <c r="O13" s="2">
        <v>442</v>
      </c>
      <c r="P13" s="2">
        <v>890</v>
      </c>
      <c r="Q13" s="2">
        <v>739</v>
      </c>
      <c r="R13" s="2">
        <f>+AG13-SUM(O13:Q13)</f>
        <v>692</v>
      </c>
      <c r="S13" s="2">
        <v>595</v>
      </c>
      <c r="AE13" s="2">
        <v>1776</v>
      </c>
      <c r="AF13" s="2">
        <v>1790</v>
      </c>
      <c r="AG13" s="2">
        <v>2763</v>
      </c>
    </row>
    <row r="14" spans="1:51" x14ac:dyDescent="0.2">
      <c r="B14" s="12" t="s">
        <v>108</v>
      </c>
      <c r="J14" s="2">
        <v>599</v>
      </c>
      <c r="K14" s="2">
        <v>564</v>
      </c>
      <c r="L14" s="2">
        <v>567</v>
      </c>
      <c r="M14" s="2">
        <v>489</v>
      </c>
      <c r="N14" s="2">
        <v>500</v>
      </c>
      <c r="O14" s="2">
        <v>476</v>
      </c>
      <c r="P14" s="2">
        <v>458</v>
      </c>
      <c r="Q14" s="2">
        <v>446</v>
      </c>
      <c r="R14" s="2">
        <f>+AG14-SUM(O14:Q14)</f>
        <v>447</v>
      </c>
      <c r="S14" s="2">
        <v>447</v>
      </c>
      <c r="AE14" s="2">
        <v>2476</v>
      </c>
      <c r="AF14" s="2">
        <v>2120</v>
      </c>
      <c r="AG14" s="2">
        <v>1827</v>
      </c>
    </row>
    <row r="15" spans="1:51" s="17" customFormat="1" x14ac:dyDescent="0.2">
      <c r="B15" s="17" t="s">
        <v>110</v>
      </c>
      <c r="J15" s="17">
        <f>SUM(J12:J14)</f>
        <v>21307</v>
      </c>
      <c r="K15" s="17">
        <f t="shared" ref="K15:O15" si="5">SUM(K12:K14)</f>
        <v>19963</v>
      </c>
      <c r="L15" s="17">
        <f t="shared" si="5"/>
        <v>21268</v>
      </c>
      <c r="M15" s="17">
        <f t="shared" si="5"/>
        <v>19625</v>
      </c>
      <c r="N15" s="17">
        <f t="shared" si="5"/>
        <v>21563</v>
      </c>
      <c r="O15" s="17">
        <f t="shared" si="5"/>
        <v>17378</v>
      </c>
      <c r="P15" s="17">
        <f t="shared" ref="P15:R15" si="6">SUM(P12:P14)</f>
        <v>19878</v>
      </c>
      <c r="Q15" s="17">
        <f t="shared" si="6"/>
        <v>20016</v>
      </c>
      <c r="R15" s="17">
        <f t="shared" si="6"/>
        <v>19798</v>
      </c>
      <c r="S15" s="17">
        <f t="shared" ref="S15" si="7">SUM(S12:S14)</f>
        <v>13967</v>
      </c>
      <c r="AE15" s="17">
        <f t="shared" ref="AE15" si="8">SUM(AE12:AE14)</f>
        <v>71462</v>
      </c>
      <c r="AF15" s="17">
        <f t="shared" ref="AF15:AG15" si="9">SUM(AF12:AF14)</f>
        <v>82419</v>
      </c>
      <c r="AG15" s="17">
        <f t="shared" si="9"/>
        <v>77070</v>
      </c>
    </row>
    <row r="16" spans="1:51" x14ac:dyDescent="0.2">
      <c r="B16" s="12" t="s">
        <v>111</v>
      </c>
      <c r="J16" s="2">
        <v>1310</v>
      </c>
      <c r="K16" s="2">
        <v>1529</v>
      </c>
      <c r="L16" s="2">
        <v>1509</v>
      </c>
      <c r="M16" s="2">
        <v>1559</v>
      </c>
      <c r="N16" s="2">
        <v>1438</v>
      </c>
      <c r="O16" s="2">
        <v>1635</v>
      </c>
      <c r="P16" s="2">
        <v>3014</v>
      </c>
      <c r="Q16" s="2">
        <v>2376</v>
      </c>
      <c r="R16" s="2">
        <f>+AG16-SUM(O16:Q16)</f>
        <v>3061</v>
      </c>
      <c r="S16" s="2">
        <v>2730</v>
      </c>
      <c r="AE16" s="2">
        <v>3909</v>
      </c>
      <c r="AF16" s="2">
        <v>6035</v>
      </c>
      <c r="AG16" s="2">
        <v>10086</v>
      </c>
    </row>
    <row r="17" spans="2:43" x14ac:dyDescent="0.2">
      <c r="B17" s="12" t="s">
        <v>112</v>
      </c>
      <c r="J17" s="2">
        <v>1701</v>
      </c>
      <c r="K17" s="2">
        <v>1837</v>
      </c>
      <c r="L17" s="2">
        <v>2150</v>
      </c>
      <c r="M17" s="2">
        <v>2166</v>
      </c>
      <c r="N17" s="2">
        <v>2166</v>
      </c>
      <c r="O17" s="2">
        <v>2288</v>
      </c>
      <c r="P17" s="2">
        <v>2608</v>
      </c>
      <c r="Q17" s="2">
        <v>2790</v>
      </c>
      <c r="R17" s="2">
        <f>+AG17-SUM(O17:Q17)</f>
        <v>2848</v>
      </c>
      <c r="S17" s="2">
        <v>2638</v>
      </c>
      <c r="AE17" s="2">
        <v>6091</v>
      </c>
      <c r="AF17" s="2">
        <v>8319</v>
      </c>
      <c r="AG17" s="2">
        <v>10534</v>
      </c>
    </row>
    <row r="18" spans="2:43" s="4" customFormat="1" x14ac:dyDescent="0.2">
      <c r="B18" s="4" t="s">
        <v>7</v>
      </c>
      <c r="J18" s="4">
        <f>+SUM(J15:J17)</f>
        <v>24318</v>
      </c>
      <c r="K18" s="4">
        <f t="shared" ref="K18:O18" si="10">+SUM(K15:K17)</f>
        <v>23329</v>
      </c>
      <c r="L18" s="4">
        <f t="shared" si="10"/>
        <v>24927</v>
      </c>
      <c r="M18" s="4">
        <f t="shared" si="10"/>
        <v>23350</v>
      </c>
      <c r="N18" s="4">
        <f t="shared" si="10"/>
        <v>25167</v>
      </c>
      <c r="O18" s="4">
        <f t="shared" si="10"/>
        <v>21301</v>
      </c>
      <c r="P18" s="4">
        <f t="shared" ref="P18:Q18" si="11">+SUM(P15:P17)</f>
        <v>25500</v>
      </c>
      <c r="Q18" s="4">
        <f t="shared" si="11"/>
        <v>25182</v>
      </c>
      <c r="R18" s="4">
        <f>+SUM(R15:R17)</f>
        <v>25707</v>
      </c>
      <c r="S18" s="4">
        <f t="shared" ref="S18" si="12">+SUM(S15:S17)</f>
        <v>19335</v>
      </c>
      <c r="AE18" s="4">
        <f t="shared" ref="AE18" si="13">+SUM(AE15:AE17)</f>
        <v>81462</v>
      </c>
      <c r="AF18" s="4">
        <f t="shared" ref="AF18:AG18" si="14">+SUM(AF15:AF17)</f>
        <v>96773</v>
      </c>
      <c r="AG18" s="4">
        <f t="shared" si="14"/>
        <v>97690</v>
      </c>
      <c r="AH18" s="4">
        <f>+AG18*1.2</f>
        <v>117228</v>
      </c>
      <c r="AI18" s="4">
        <f t="shared" ref="AI18:AQ18" si="15">+AH18*1.2</f>
        <v>140673.60000000001</v>
      </c>
      <c r="AJ18" s="4">
        <f t="shared" si="15"/>
        <v>168808.32000000001</v>
      </c>
      <c r="AK18" s="4">
        <f t="shared" si="15"/>
        <v>202569.984</v>
      </c>
      <c r="AL18" s="4">
        <f t="shared" si="15"/>
        <v>243083.98079999999</v>
      </c>
      <c r="AM18" s="4">
        <f t="shared" si="15"/>
        <v>291700.77695999999</v>
      </c>
      <c r="AN18" s="4">
        <f t="shared" si="15"/>
        <v>350040.93235199997</v>
      </c>
      <c r="AO18" s="4">
        <f t="shared" si="15"/>
        <v>420049.11882239993</v>
      </c>
      <c r="AP18" s="4">
        <f t="shared" si="15"/>
        <v>504058.94258687989</v>
      </c>
      <c r="AQ18" s="4">
        <f t="shared" si="15"/>
        <v>604870.73110425589</v>
      </c>
    </row>
    <row r="19" spans="2:43" x14ac:dyDescent="0.2">
      <c r="B19" s="12" t="s">
        <v>113</v>
      </c>
      <c r="J19" s="2">
        <v>15433</v>
      </c>
      <c r="K19" s="2">
        <v>15422</v>
      </c>
      <c r="L19" s="2">
        <v>16841</v>
      </c>
      <c r="M19" s="2">
        <v>15656</v>
      </c>
      <c r="N19" s="2">
        <v>17202</v>
      </c>
      <c r="O19" s="2">
        <v>13897</v>
      </c>
      <c r="P19" s="2">
        <v>15962</v>
      </c>
      <c r="Q19" s="2">
        <v>15743</v>
      </c>
      <c r="R19" s="2">
        <f>+AG19-SUM(O19:Q19)</f>
        <v>16268</v>
      </c>
      <c r="S19" s="2">
        <v>11461</v>
      </c>
      <c r="AE19" s="2">
        <v>49599</v>
      </c>
      <c r="AF19" s="2">
        <v>65121</v>
      </c>
      <c r="AG19" s="2">
        <v>61870</v>
      </c>
    </row>
    <row r="20" spans="2:43" x14ac:dyDescent="0.2">
      <c r="B20" s="12" t="s">
        <v>114</v>
      </c>
      <c r="J20" s="2">
        <f t="shared" ref="J20:R20" si="16">+J12-J19</f>
        <v>4808</v>
      </c>
      <c r="K20" s="2">
        <f t="shared" si="16"/>
        <v>3456</v>
      </c>
      <c r="L20" s="2">
        <f t="shared" si="16"/>
        <v>3578</v>
      </c>
      <c r="M20" s="2">
        <f t="shared" si="16"/>
        <v>2926</v>
      </c>
      <c r="N20" s="2">
        <f t="shared" si="16"/>
        <v>3428</v>
      </c>
      <c r="O20" s="2">
        <f t="shared" si="16"/>
        <v>2563</v>
      </c>
      <c r="P20" s="2">
        <f t="shared" si="16"/>
        <v>2568</v>
      </c>
      <c r="Q20" s="2">
        <f t="shared" si="16"/>
        <v>3088</v>
      </c>
      <c r="R20" s="2">
        <f t="shared" si="16"/>
        <v>2391</v>
      </c>
      <c r="S20" s="2">
        <f>+S12-S19</f>
        <v>1464</v>
      </c>
      <c r="AE20" s="2">
        <f t="shared" ref="AE20:AG20" si="17">+AE12-AE19</f>
        <v>17611</v>
      </c>
      <c r="AF20" s="2">
        <f t="shared" si="17"/>
        <v>13388</v>
      </c>
      <c r="AG20" s="2">
        <f t="shared" si="17"/>
        <v>10610</v>
      </c>
    </row>
    <row r="21" spans="2:43" x14ac:dyDescent="0.2">
      <c r="B21" s="12" t="s">
        <v>115</v>
      </c>
      <c r="J21" s="2">
        <v>352</v>
      </c>
      <c r="K21" s="2">
        <v>333</v>
      </c>
      <c r="L21" s="2">
        <v>338</v>
      </c>
      <c r="M21" s="2">
        <v>301</v>
      </c>
      <c r="N21" s="2">
        <v>296</v>
      </c>
      <c r="O21" s="2">
        <v>269</v>
      </c>
      <c r="P21" s="2">
        <v>245</v>
      </c>
      <c r="Q21" s="2">
        <v>247</v>
      </c>
      <c r="R21" s="2">
        <f>+AG21-SUM(O21:Q21)</f>
        <v>242</v>
      </c>
      <c r="S21" s="2">
        <v>239</v>
      </c>
      <c r="AE21" s="2">
        <v>1509</v>
      </c>
      <c r="AF21" s="2">
        <v>1268</v>
      </c>
      <c r="AG21" s="2">
        <v>1003</v>
      </c>
    </row>
    <row r="22" spans="2:43" x14ac:dyDescent="0.2">
      <c r="B22" s="12" t="s">
        <v>116</v>
      </c>
      <c r="J22" s="2">
        <f>+J19+J21</f>
        <v>15785</v>
      </c>
      <c r="K22" s="2">
        <f t="shared" ref="K22:S22" si="18">+K19+K21</f>
        <v>15755</v>
      </c>
      <c r="L22" s="2">
        <f t="shared" si="18"/>
        <v>17179</v>
      </c>
      <c r="M22" s="2">
        <f t="shared" si="18"/>
        <v>15957</v>
      </c>
      <c r="N22" s="2">
        <f t="shared" si="18"/>
        <v>17498</v>
      </c>
      <c r="O22" s="2">
        <f t="shared" si="18"/>
        <v>14166</v>
      </c>
      <c r="P22" s="2">
        <f t="shared" si="18"/>
        <v>16207</v>
      </c>
      <c r="Q22" s="2">
        <f t="shared" si="18"/>
        <v>15990</v>
      </c>
      <c r="R22" s="2">
        <f t="shared" si="18"/>
        <v>16510</v>
      </c>
      <c r="S22" s="2">
        <f t="shared" si="18"/>
        <v>11700</v>
      </c>
      <c r="AE22" s="2">
        <f t="shared" ref="AE22" si="19">+AE19+AE21</f>
        <v>51108</v>
      </c>
      <c r="AF22" s="2">
        <f t="shared" ref="AF22" si="20">+AF19+AF21</f>
        <v>66389</v>
      </c>
      <c r="AG22" s="2">
        <f>+AG19+AG21</f>
        <v>62873</v>
      </c>
    </row>
    <row r="23" spans="2:43" x14ac:dyDescent="0.2">
      <c r="B23" s="12" t="s">
        <v>117</v>
      </c>
      <c r="J23" s="2">
        <v>1151</v>
      </c>
      <c r="K23" s="2">
        <v>1361</v>
      </c>
      <c r="L23" s="2">
        <v>1231</v>
      </c>
      <c r="M23" s="2">
        <v>1178</v>
      </c>
      <c r="N23" s="2">
        <v>1124</v>
      </c>
      <c r="O23" s="2">
        <v>1232</v>
      </c>
      <c r="P23" s="2">
        <v>2274</v>
      </c>
      <c r="Q23" s="2">
        <v>1651</v>
      </c>
      <c r="R23" s="2">
        <f>+AG23-SUM(O23:Q23)</f>
        <v>2289</v>
      </c>
      <c r="S23" s="2">
        <v>1945</v>
      </c>
      <c r="AE23" s="2">
        <v>3621</v>
      </c>
      <c r="AF23" s="2">
        <v>4894</v>
      </c>
      <c r="AG23" s="2">
        <v>7446</v>
      </c>
    </row>
    <row r="24" spans="2:43" x14ac:dyDescent="0.2">
      <c r="B24" s="12" t="s">
        <v>118</v>
      </c>
      <c r="J24" s="2">
        <v>1605</v>
      </c>
      <c r="K24" s="2">
        <v>1702</v>
      </c>
      <c r="L24" s="2">
        <v>1984</v>
      </c>
      <c r="M24" s="2">
        <v>2037</v>
      </c>
      <c r="N24" s="2">
        <v>2107</v>
      </c>
      <c r="O24" s="2">
        <v>2207</v>
      </c>
      <c r="P24" s="2">
        <v>2441</v>
      </c>
      <c r="Q24" s="2">
        <v>2544</v>
      </c>
      <c r="R24" s="2">
        <f>+AG24-SUM(O24:Q24)</f>
        <v>2729</v>
      </c>
      <c r="S24" s="2">
        <v>2537</v>
      </c>
      <c r="AE24" s="2">
        <v>5880</v>
      </c>
      <c r="AF24" s="2">
        <v>7830</v>
      </c>
      <c r="AG24" s="2">
        <v>9921</v>
      </c>
    </row>
    <row r="25" spans="2:43" x14ac:dyDescent="0.2">
      <c r="B25" s="2" t="s">
        <v>119</v>
      </c>
      <c r="J25" s="2">
        <f>+SUM(J22:J24)</f>
        <v>18541</v>
      </c>
      <c r="K25" s="2">
        <f t="shared" ref="K25:O25" si="21">+SUM(K22:K24)</f>
        <v>18818</v>
      </c>
      <c r="L25" s="2">
        <f t="shared" si="21"/>
        <v>20394</v>
      </c>
      <c r="M25" s="2">
        <f t="shared" si="21"/>
        <v>19172</v>
      </c>
      <c r="N25" s="2">
        <f t="shared" si="21"/>
        <v>20729</v>
      </c>
      <c r="O25" s="2">
        <f t="shared" si="21"/>
        <v>17605</v>
      </c>
      <c r="P25" s="2">
        <f t="shared" ref="P25:Q25" si="22">+SUM(P22:P24)</f>
        <v>20922</v>
      </c>
      <c r="Q25" s="2">
        <f t="shared" si="22"/>
        <v>20185</v>
      </c>
      <c r="R25" s="2">
        <f t="shared" ref="R25" si="23">+SUM(R22:R24)</f>
        <v>21528</v>
      </c>
      <c r="S25" s="2">
        <f>+SUM(S22:S24)</f>
        <v>16182</v>
      </c>
      <c r="AE25" s="2">
        <f t="shared" ref="AE25" si="24">+SUM(AE22:AE24)</f>
        <v>60609</v>
      </c>
      <c r="AF25" s="2">
        <f t="shared" ref="AF25:AG25" si="25">+SUM(AF22:AF24)</f>
        <v>79113</v>
      </c>
      <c r="AG25" s="2">
        <f>+SUM(AG22:AG24)</f>
        <v>80240</v>
      </c>
      <c r="AH25" s="2">
        <f>+AG25*1.1</f>
        <v>88264</v>
      </c>
      <c r="AI25" s="2">
        <f t="shared" ref="AI25:AM25" si="26">+AH25*1.1</f>
        <v>97090.400000000009</v>
      </c>
      <c r="AJ25" s="2">
        <f t="shared" si="26"/>
        <v>106799.44000000002</v>
      </c>
      <c r="AK25" s="2">
        <f t="shared" si="26"/>
        <v>117479.38400000003</v>
      </c>
      <c r="AL25" s="2">
        <f t="shared" si="26"/>
        <v>129227.32240000005</v>
      </c>
      <c r="AM25" s="2">
        <f t="shared" si="26"/>
        <v>142150.05464000007</v>
      </c>
      <c r="AN25" s="2">
        <f t="shared" ref="AN25:AQ25" si="27">+AM25*1.1</f>
        <v>156365.06010400009</v>
      </c>
      <c r="AO25" s="2">
        <f t="shared" si="27"/>
        <v>172001.56611440011</v>
      </c>
      <c r="AP25" s="2">
        <f t="shared" si="27"/>
        <v>189201.72272584014</v>
      </c>
      <c r="AQ25" s="2">
        <f t="shared" si="27"/>
        <v>208121.89499842416</v>
      </c>
    </row>
    <row r="26" spans="2:43" s="4" customFormat="1" x14ac:dyDescent="0.2">
      <c r="B26" s="4" t="s">
        <v>10</v>
      </c>
      <c r="J26" s="4">
        <f>+J18-J25</f>
        <v>5777</v>
      </c>
      <c r="K26" s="4">
        <f t="shared" ref="K26:O26" si="28">+K18-K25</f>
        <v>4511</v>
      </c>
      <c r="L26" s="4">
        <f t="shared" si="28"/>
        <v>4533</v>
      </c>
      <c r="M26" s="4">
        <f t="shared" si="28"/>
        <v>4178</v>
      </c>
      <c r="N26" s="4">
        <f t="shared" si="28"/>
        <v>4438</v>
      </c>
      <c r="O26" s="4">
        <f t="shared" si="28"/>
        <v>3696</v>
      </c>
      <c r="P26" s="4">
        <f t="shared" ref="P26:Q26" si="29">+P18-P25</f>
        <v>4578</v>
      </c>
      <c r="Q26" s="4">
        <f t="shared" si="29"/>
        <v>4997</v>
      </c>
      <c r="R26" s="4">
        <f t="shared" ref="R26:S26" si="30">+R18-R25</f>
        <v>4179</v>
      </c>
      <c r="S26" s="4">
        <f t="shared" si="30"/>
        <v>3153</v>
      </c>
      <c r="AE26" s="4">
        <f t="shared" ref="AE26" si="31">+AE18-AE25</f>
        <v>20853</v>
      </c>
      <c r="AF26" s="4">
        <f t="shared" ref="AF26:AM26" si="32">+AF18-AF25</f>
        <v>17660</v>
      </c>
      <c r="AG26" s="4">
        <f t="shared" si="32"/>
        <v>17450</v>
      </c>
      <c r="AH26" s="4">
        <f t="shared" si="32"/>
        <v>28964</v>
      </c>
      <c r="AI26" s="4">
        <f t="shared" si="32"/>
        <v>43583.199999999997</v>
      </c>
      <c r="AJ26" s="4">
        <f t="shared" si="32"/>
        <v>62008.87999999999</v>
      </c>
      <c r="AK26" s="4">
        <f t="shared" si="32"/>
        <v>85090.599999999962</v>
      </c>
      <c r="AL26" s="4">
        <f t="shared" si="32"/>
        <v>113856.65839999994</v>
      </c>
      <c r="AM26" s="4">
        <f t="shared" si="32"/>
        <v>149550.72231999991</v>
      </c>
      <c r="AN26" s="4">
        <f t="shared" ref="AN26:AQ26" si="33">+AN18-AN25</f>
        <v>193675.87224799988</v>
      </c>
      <c r="AO26" s="4">
        <f t="shared" si="33"/>
        <v>248047.55270799983</v>
      </c>
      <c r="AP26" s="4">
        <f t="shared" si="33"/>
        <v>314857.21986103978</v>
      </c>
      <c r="AQ26" s="4">
        <f t="shared" si="33"/>
        <v>396748.83610583172</v>
      </c>
    </row>
    <row r="27" spans="2:43" x14ac:dyDescent="0.2">
      <c r="B27" s="2" t="s">
        <v>16</v>
      </c>
      <c r="J27" s="2">
        <v>810</v>
      </c>
      <c r="K27" s="2">
        <v>771</v>
      </c>
      <c r="L27" s="2">
        <v>943</v>
      </c>
      <c r="M27" s="2">
        <v>1161</v>
      </c>
      <c r="N27" s="2">
        <v>1094</v>
      </c>
      <c r="O27" s="2">
        <v>1151</v>
      </c>
      <c r="P27" s="2">
        <v>1074</v>
      </c>
      <c r="Q27" s="2">
        <v>1039</v>
      </c>
      <c r="R27" s="2">
        <f>+AG27-SUM(O27:Q27)</f>
        <v>1276</v>
      </c>
      <c r="S27" s="2">
        <v>1409</v>
      </c>
      <c r="AE27" s="2">
        <v>3075</v>
      </c>
      <c r="AF27" s="2">
        <v>3969</v>
      </c>
      <c r="AG27" s="2">
        <v>4540</v>
      </c>
      <c r="AH27" s="2">
        <f>+AG27*1.15</f>
        <v>5221</v>
      </c>
      <c r="AI27" s="2">
        <f t="shared" ref="AI27:AM27" si="34">+AH27*1.15</f>
        <v>6004.15</v>
      </c>
      <c r="AJ27" s="2">
        <f t="shared" si="34"/>
        <v>6904.7724999999991</v>
      </c>
      <c r="AK27" s="2">
        <f t="shared" si="34"/>
        <v>7940.4883749999981</v>
      </c>
      <c r="AL27" s="2">
        <f t="shared" si="34"/>
        <v>9131.5616312499969</v>
      </c>
      <c r="AM27" s="2">
        <f t="shared" si="34"/>
        <v>10501.295875937496</v>
      </c>
      <c r="AN27" s="2">
        <f t="shared" ref="AN27:AQ27" si="35">+AM27*1.15</f>
        <v>12076.49025732812</v>
      </c>
      <c r="AO27" s="2">
        <f t="shared" si="35"/>
        <v>13887.963795927337</v>
      </c>
      <c r="AP27" s="2">
        <f t="shared" si="35"/>
        <v>15971.158365316436</v>
      </c>
      <c r="AQ27" s="2">
        <f t="shared" si="35"/>
        <v>18366.832120113901</v>
      </c>
    </row>
    <row r="28" spans="2:43" x14ac:dyDescent="0.2">
      <c r="B28" s="2" t="s">
        <v>17</v>
      </c>
      <c r="J28" s="2">
        <v>1032</v>
      </c>
      <c r="K28" s="2">
        <v>1076</v>
      </c>
      <c r="L28" s="2">
        <v>1191</v>
      </c>
      <c r="M28" s="2">
        <v>1253</v>
      </c>
      <c r="N28" s="2">
        <v>1280</v>
      </c>
      <c r="O28" s="2">
        <v>1374</v>
      </c>
      <c r="P28" s="2">
        <v>1277</v>
      </c>
      <c r="Q28" s="2">
        <v>1186</v>
      </c>
      <c r="R28" s="2">
        <f>+AG28-SUM(O28:Q28)</f>
        <v>1313</v>
      </c>
      <c r="S28" s="2">
        <v>1251</v>
      </c>
      <c r="AE28" s="2">
        <v>3946</v>
      </c>
      <c r="AF28" s="2">
        <v>4800</v>
      </c>
      <c r="AG28" s="2">
        <v>5150</v>
      </c>
      <c r="AH28" s="2">
        <f>+AG28*1.15</f>
        <v>5922.4999999999991</v>
      </c>
      <c r="AI28" s="2">
        <f t="shared" ref="AI28:AM28" si="36">+AH28*1.15</f>
        <v>6810.8749999999982</v>
      </c>
      <c r="AJ28" s="2">
        <f t="shared" si="36"/>
        <v>7832.5062499999976</v>
      </c>
      <c r="AK28" s="2">
        <f t="shared" si="36"/>
        <v>9007.3821874999958</v>
      </c>
      <c r="AL28" s="2">
        <f t="shared" si="36"/>
        <v>10358.489515624995</v>
      </c>
      <c r="AM28" s="2">
        <f t="shared" si="36"/>
        <v>11912.262942968744</v>
      </c>
      <c r="AN28" s="2">
        <f t="shared" ref="AN28:AQ28" si="37">+AM28*1.15</f>
        <v>13699.102384414055</v>
      </c>
      <c r="AO28" s="2">
        <f t="shared" si="37"/>
        <v>15753.967742076162</v>
      </c>
      <c r="AP28" s="2">
        <f t="shared" si="37"/>
        <v>18117.062903387585</v>
      </c>
      <c r="AQ28" s="2">
        <f t="shared" si="37"/>
        <v>20834.622338895722</v>
      </c>
    </row>
    <row r="29" spans="2:43" x14ac:dyDescent="0.2">
      <c r="B29" s="2" t="s">
        <v>19</v>
      </c>
      <c r="J29" s="2">
        <f>+SUM(J27:J28)</f>
        <v>1842</v>
      </c>
      <c r="K29" s="2">
        <f t="shared" ref="K29:P29" si="38">+SUM(K27:K28)</f>
        <v>1847</v>
      </c>
      <c r="L29" s="2">
        <f t="shared" si="38"/>
        <v>2134</v>
      </c>
      <c r="M29" s="2">
        <f t="shared" si="38"/>
        <v>2414</v>
      </c>
      <c r="N29" s="2">
        <f t="shared" si="38"/>
        <v>2374</v>
      </c>
      <c r="O29" s="2">
        <f t="shared" si="38"/>
        <v>2525</v>
      </c>
      <c r="P29" s="2">
        <f t="shared" si="38"/>
        <v>2351</v>
      </c>
      <c r="Q29" s="2">
        <f t="shared" ref="Q29:R29" si="39">+SUM(Q27:Q28)</f>
        <v>2225</v>
      </c>
      <c r="R29" s="2">
        <f t="shared" si="39"/>
        <v>2589</v>
      </c>
      <c r="S29" s="2">
        <f t="shared" ref="S29" si="40">+SUM(S27:S28)</f>
        <v>2660</v>
      </c>
      <c r="AE29" s="2">
        <f t="shared" ref="AE29" si="41">+SUM(AE27:AE28)</f>
        <v>7021</v>
      </c>
      <c r="AF29" s="2">
        <f t="shared" ref="AF29:AG29" si="42">+SUM(AF27:AF28)</f>
        <v>8769</v>
      </c>
      <c r="AG29" s="2">
        <f t="shared" si="42"/>
        <v>9690</v>
      </c>
      <c r="AH29" s="2">
        <f t="shared" ref="AH29:AM29" si="43">+SUM(AH27:AH28)</f>
        <v>11143.5</v>
      </c>
      <c r="AI29" s="2">
        <f t="shared" si="43"/>
        <v>12815.024999999998</v>
      </c>
      <c r="AJ29" s="2">
        <f t="shared" si="43"/>
        <v>14737.278749999998</v>
      </c>
      <c r="AK29" s="2">
        <f t="shared" si="43"/>
        <v>16947.870562499993</v>
      </c>
      <c r="AL29" s="2">
        <f t="shared" si="43"/>
        <v>19490.05114687499</v>
      </c>
      <c r="AM29" s="2">
        <f t="shared" si="43"/>
        <v>22413.55881890624</v>
      </c>
      <c r="AN29" s="2">
        <f t="shared" ref="AN29:AQ29" si="44">+SUM(AN27:AN28)</f>
        <v>25775.592641742172</v>
      </c>
      <c r="AO29" s="2">
        <f t="shared" si="44"/>
        <v>29641.931538003497</v>
      </c>
      <c r="AP29" s="2">
        <f t="shared" si="44"/>
        <v>34088.221268704023</v>
      </c>
      <c r="AQ29" s="2">
        <f t="shared" si="44"/>
        <v>39201.454459009619</v>
      </c>
    </row>
    <row r="30" spans="2:43" s="4" customFormat="1" x14ac:dyDescent="0.2">
      <c r="B30" s="4" t="s">
        <v>18</v>
      </c>
      <c r="J30" s="4">
        <f>+J26-J29</f>
        <v>3935</v>
      </c>
      <c r="K30" s="4">
        <f t="shared" ref="K30:O30" si="45">+K26-K29</f>
        <v>2664</v>
      </c>
      <c r="L30" s="4">
        <f t="shared" si="45"/>
        <v>2399</v>
      </c>
      <c r="M30" s="4">
        <f t="shared" si="45"/>
        <v>1764</v>
      </c>
      <c r="N30" s="4">
        <f t="shared" si="45"/>
        <v>2064</v>
      </c>
      <c r="O30" s="4">
        <f t="shared" si="45"/>
        <v>1171</v>
      </c>
      <c r="P30" s="4">
        <f t="shared" ref="P30:Q30" si="46">+P26-P29</f>
        <v>2227</v>
      </c>
      <c r="Q30" s="4">
        <f t="shared" si="46"/>
        <v>2772</v>
      </c>
      <c r="R30" s="4">
        <f t="shared" ref="R30:S30" si="47">+R26-R29</f>
        <v>1590</v>
      </c>
      <c r="S30" s="4">
        <f t="shared" si="47"/>
        <v>493</v>
      </c>
      <c r="AE30" s="4">
        <f t="shared" ref="AE30" si="48">+AE26-AE29</f>
        <v>13832</v>
      </c>
      <c r="AF30" s="4">
        <f t="shared" ref="AF30:AG30" si="49">+AF26-AF29</f>
        <v>8891</v>
      </c>
      <c r="AG30" s="4">
        <f t="shared" si="49"/>
        <v>7760</v>
      </c>
      <c r="AH30" s="4">
        <f t="shared" ref="AH30:AM30" si="50">+AH26-AH29</f>
        <v>17820.5</v>
      </c>
      <c r="AI30" s="4">
        <f t="shared" si="50"/>
        <v>30768.174999999999</v>
      </c>
      <c r="AJ30" s="4">
        <f t="shared" si="50"/>
        <v>47271.601249999992</v>
      </c>
      <c r="AK30" s="4">
        <f t="shared" si="50"/>
        <v>68142.729437499976</v>
      </c>
      <c r="AL30" s="4">
        <f t="shared" si="50"/>
        <v>94366.607253124952</v>
      </c>
      <c r="AM30" s="4">
        <f t="shared" si="50"/>
        <v>127137.16350109367</v>
      </c>
      <c r="AN30" s="4">
        <f t="shared" ref="AN30:AQ30" si="51">+AN26-AN29</f>
        <v>167900.27960625771</v>
      </c>
      <c r="AO30" s="4">
        <f t="shared" si="51"/>
        <v>218405.62116999633</v>
      </c>
      <c r="AP30" s="4">
        <f t="shared" si="51"/>
        <v>280768.99859233573</v>
      </c>
      <c r="AQ30" s="4">
        <f t="shared" si="51"/>
        <v>357547.38164682209</v>
      </c>
    </row>
    <row r="31" spans="2:43" x14ac:dyDescent="0.2">
      <c r="B31" s="2" t="s">
        <v>20</v>
      </c>
      <c r="J31" s="2">
        <v>157</v>
      </c>
      <c r="K31" s="2">
        <v>213</v>
      </c>
      <c r="L31" s="2">
        <v>238</v>
      </c>
      <c r="M31" s="2">
        <v>282</v>
      </c>
      <c r="N31" s="2">
        <v>333</v>
      </c>
      <c r="O31" s="2">
        <v>350</v>
      </c>
      <c r="P31" s="2">
        <v>350</v>
      </c>
      <c r="Q31" s="2">
        <v>429</v>
      </c>
      <c r="R31" s="2">
        <f>+AG31-SUM(O31:Q31)</f>
        <v>440</v>
      </c>
      <c r="S31" s="2">
        <v>400</v>
      </c>
      <c r="AE31" s="2">
        <v>297</v>
      </c>
      <c r="AF31" s="2">
        <v>1066</v>
      </c>
      <c r="AG31" s="2">
        <v>1569</v>
      </c>
      <c r="AH31" s="2">
        <f>+AG47*0.04</f>
        <v>1177.04</v>
      </c>
      <c r="AI31" s="2">
        <f t="shared" ref="AI31:AM31" si="52">+AH47*0.04</f>
        <v>1784.96128</v>
      </c>
      <c r="AJ31" s="2">
        <f t="shared" si="52"/>
        <v>2826.6616409600001</v>
      </c>
      <c r="AK31" s="2">
        <f t="shared" si="52"/>
        <v>4429.8060534707201</v>
      </c>
      <c r="AL31" s="2">
        <f t="shared" si="52"/>
        <v>6752.1271891817823</v>
      </c>
      <c r="AM31" s="2">
        <f t="shared" si="52"/>
        <v>9987.9266913355987</v>
      </c>
      <c r="AN31" s="2">
        <f t="shared" ref="AN31:AQ31" si="53">+AM47*0.04</f>
        <v>14375.929577493334</v>
      </c>
      <c r="AO31" s="2">
        <f t="shared" si="53"/>
        <v>0</v>
      </c>
      <c r="AP31" s="2">
        <f t="shared" si="53"/>
        <v>0</v>
      </c>
      <c r="AQ31" s="2">
        <f t="shared" si="53"/>
        <v>0</v>
      </c>
    </row>
    <row r="32" spans="2:43" x14ac:dyDescent="0.2">
      <c r="B32" s="2" t="s">
        <v>21</v>
      </c>
      <c r="J32" s="2">
        <v>-33</v>
      </c>
      <c r="K32" s="2">
        <v>-29</v>
      </c>
      <c r="L32" s="2">
        <v>-28</v>
      </c>
      <c r="M32" s="2">
        <v>-38</v>
      </c>
      <c r="N32" s="2">
        <v>-61</v>
      </c>
      <c r="O32" s="2">
        <v>-76</v>
      </c>
      <c r="P32" s="2">
        <v>-76</v>
      </c>
      <c r="Q32" s="2">
        <v>-92</v>
      </c>
      <c r="R32" s="2">
        <f>+AG32-SUM(O32:Q32)</f>
        <v>-106</v>
      </c>
      <c r="S32" s="2">
        <v>-91</v>
      </c>
      <c r="AE32" s="2">
        <v>-191</v>
      </c>
      <c r="AF32" s="2">
        <v>-156</v>
      </c>
      <c r="AG32" s="2">
        <v>-350</v>
      </c>
    </row>
    <row r="33" spans="2:140" x14ac:dyDescent="0.2">
      <c r="B33" s="2" t="s">
        <v>23</v>
      </c>
      <c r="J33" s="2">
        <f>+SUM(J31:J32)+J30</f>
        <v>4059</v>
      </c>
      <c r="K33" s="2">
        <f t="shared" ref="K33:R33" si="54">+SUM(K31:K32)+K30</f>
        <v>2848</v>
      </c>
      <c r="L33" s="2">
        <f t="shared" si="54"/>
        <v>2609</v>
      </c>
      <c r="M33" s="2">
        <f t="shared" si="54"/>
        <v>2008</v>
      </c>
      <c r="N33" s="2">
        <f t="shared" si="54"/>
        <v>2336</v>
      </c>
      <c r="O33" s="2">
        <f t="shared" si="54"/>
        <v>1445</v>
      </c>
      <c r="P33" s="2">
        <f t="shared" si="54"/>
        <v>2501</v>
      </c>
      <c r="Q33" s="2">
        <f t="shared" si="54"/>
        <v>3109</v>
      </c>
      <c r="R33" s="2">
        <f t="shared" si="54"/>
        <v>1924</v>
      </c>
      <c r="S33" s="2">
        <f t="shared" ref="S33" si="55">+SUM(S31:S32)+S30</f>
        <v>802</v>
      </c>
      <c r="AE33" s="2">
        <f>+SUM(AE31:AE32)+AE30</f>
        <v>13938</v>
      </c>
      <c r="AF33" s="2">
        <f>+SUM(AF31:AF32)+AF30</f>
        <v>9801</v>
      </c>
      <c r="AG33" s="2">
        <f>+SUM(AG31:AG32)+AG30</f>
        <v>8979</v>
      </c>
      <c r="AH33" s="2">
        <f t="shared" ref="AH33:AL33" si="56">+SUM(AH31:AH32)+AH30</f>
        <v>18997.54</v>
      </c>
      <c r="AI33" s="2">
        <f t="shared" si="56"/>
        <v>32553.136279999999</v>
      </c>
      <c r="AJ33" s="2">
        <f t="shared" si="56"/>
        <v>50098.262890959995</v>
      </c>
      <c r="AK33" s="2">
        <f t="shared" si="56"/>
        <v>72572.535490970695</v>
      </c>
      <c r="AL33" s="2">
        <f t="shared" si="56"/>
        <v>101118.73444230674</v>
      </c>
      <c r="AM33" s="2">
        <f>+SUM(AM31:AM32)+AM30</f>
        <v>137125.09019242928</v>
      </c>
      <c r="AN33" s="2">
        <f t="shared" ref="AN33:AQ33" si="57">+SUM(AN31:AN32)+AN30</f>
        <v>182276.20918375105</v>
      </c>
      <c r="AO33" s="2">
        <f t="shared" si="57"/>
        <v>218405.62116999633</v>
      </c>
      <c r="AP33" s="2">
        <f t="shared" si="57"/>
        <v>280768.99859233573</v>
      </c>
      <c r="AQ33" s="2">
        <f t="shared" si="57"/>
        <v>357547.38164682209</v>
      </c>
    </row>
    <row r="34" spans="2:140" x14ac:dyDescent="0.2">
      <c r="B34" s="2" t="s">
        <v>24</v>
      </c>
      <c r="J34" s="2">
        <v>276</v>
      </c>
      <c r="K34" s="2">
        <v>261</v>
      </c>
      <c r="L34" s="2">
        <v>323</v>
      </c>
      <c r="M34" s="2">
        <v>167</v>
      </c>
      <c r="N34" s="2">
        <v>-5752</v>
      </c>
      <c r="O34" s="2">
        <v>409</v>
      </c>
      <c r="P34" s="2">
        <v>409</v>
      </c>
      <c r="Q34" s="2">
        <v>601</v>
      </c>
      <c r="R34" s="2">
        <f>+AG34-SUM(O34:Q34)</f>
        <v>418</v>
      </c>
      <c r="S34" s="2">
        <v>169</v>
      </c>
      <c r="AE34" s="2">
        <v>1132</v>
      </c>
      <c r="AF34" s="2">
        <v>-5001</v>
      </c>
      <c r="AG34" s="2">
        <v>1837</v>
      </c>
      <c r="AH34" s="2">
        <f>+AH33*0.2</f>
        <v>3799.5080000000003</v>
      </c>
      <c r="AI34" s="2">
        <f t="shared" ref="AI34:AM34" si="58">+AI33*0.2</f>
        <v>6510.6272559999998</v>
      </c>
      <c r="AJ34" s="2">
        <f t="shared" si="58"/>
        <v>10019.652578191999</v>
      </c>
      <c r="AK34" s="2">
        <f t="shared" si="58"/>
        <v>14514.507098194139</v>
      </c>
      <c r="AL34" s="2">
        <f t="shared" si="58"/>
        <v>20223.746888461348</v>
      </c>
      <c r="AM34" s="2">
        <f t="shared" si="58"/>
        <v>27425.018038485858</v>
      </c>
      <c r="AN34" s="2">
        <f t="shared" ref="AN34" si="59">+AN33*0.2</f>
        <v>36455.24183675021</v>
      </c>
      <c r="AO34" s="2">
        <f t="shared" ref="AO34" si="60">+AO33*0.2</f>
        <v>43681.124233999268</v>
      </c>
      <c r="AP34" s="2">
        <f t="shared" ref="AP34" si="61">+AP33*0.2</f>
        <v>56153.799718467148</v>
      </c>
      <c r="AQ34" s="2">
        <f t="shared" ref="AQ34" si="62">+AQ33*0.2</f>
        <v>71509.476329364421</v>
      </c>
    </row>
    <row r="35" spans="2:140" s="4" customFormat="1" x14ac:dyDescent="0.2">
      <c r="B35" s="4" t="s">
        <v>25</v>
      </c>
      <c r="J35" s="4">
        <f>+J33-J34</f>
        <v>3783</v>
      </c>
      <c r="K35" s="4">
        <f t="shared" ref="K35:O35" si="63">+K33-K34</f>
        <v>2587</v>
      </c>
      <c r="L35" s="4">
        <f t="shared" si="63"/>
        <v>2286</v>
      </c>
      <c r="M35" s="4">
        <f t="shared" si="63"/>
        <v>1841</v>
      </c>
      <c r="N35" s="4">
        <f t="shared" si="63"/>
        <v>8088</v>
      </c>
      <c r="O35" s="4">
        <f t="shared" si="63"/>
        <v>1036</v>
      </c>
      <c r="P35" s="4">
        <f t="shared" ref="P35:R35" si="64">+P33-P34</f>
        <v>2092</v>
      </c>
      <c r="Q35" s="4">
        <f t="shared" si="64"/>
        <v>2508</v>
      </c>
      <c r="R35" s="4">
        <f t="shared" si="64"/>
        <v>1506</v>
      </c>
      <c r="S35" s="4">
        <f t="shared" ref="S35" si="65">+S33-S34</f>
        <v>633</v>
      </c>
      <c r="AE35" s="4">
        <f t="shared" ref="AE35" si="66">+AE33-AE34</f>
        <v>12806</v>
      </c>
      <c r="AF35" s="4">
        <f t="shared" ref="AF35:AL35" si="67">+AF33-AF34</f>
        <v>14802</v>
      </c>
      <c r="AG35" s="4">
        <f t="shared" si="67"/>
        <v>7142</v>
      </c>
      <c r="AH35" s="4">
        <f t="shared" si="67"/>
        <v>15198.032000000001</v>
      </c>
      <c r="AI35" s="4">
        <f t="shared" si="67"/>
        <v>26042.509023999999</v>
      </c>
      <c r="AJ35" s="4">
        <f t="shared" si="67"/>
        <v>40078.610312767996</v>
      </c>
      <c r="AK35" s="4">
        <f t="shared" si="67"/>
        <v>58058.028392776556</v>
      </c>
      <c r="AL35" s="4">
        <f t="shared" si="67"/>
        <v>80894.987553845393</v>
      </c>
      <c r="AM35" s="4">
        <f>+AM33-AM34</f>
        <v>109700.07215394343</v>
      </c>
      <c r="AN35" s="4">
        <f t="shared" ref="AN35:AQ35" si="68">+AN33-AN34</f>
        <v>145820.96734700084</v>
      </c>
      <c r="AO35" s="4">
        <f t="shared" si="68"/>
        <v>174724.49693599707</v>
      </c>
      <c r="AP35" s="4">
        <f t="shared" si="68"/>
        <v>224615.19887386859</v>
      </c>
      <c r="AQ35" s="4">
        <f t="shared" si="68"/>
        <v>286037.90531745768</v>
      </c>
      <c r="AR35" s="4">
        <f t="shared" ref="AR35:BW35" si="69">+AQ35*(1+$AT$37)</f>
        <v>314641.6958492035</v>
      </c>
      <c r="AS35" s="4">
        <f t="shared" si="69"/>
        <v>346105.8654341239</v>
      </c>
      <c r="AT35" s="4">
        <f t="shared" si="69"/>
        <v>380716.45197753632</v>
      </c>
      <c r="AU35" s="4">
        <f t="shared" si="69"/>
        <v>418788.09717528999</v>
      </c>
      <c r="AV35" s="4">
        <f t="shared" si="69"/>
        <v>460666.90689281904</v>
      </c>
      <c r="AW35" s="4">
        <f t="shared" si="69"/>
        <v>506733.59758210101</v>
      </c>
      <c r="AX35" s="4">
        <f t="shared" si="69"/>
        <v>557406.95734031114</v>
      </c>
      <c r="AY35" s="4">
        <f t="shared" si="69"/>
        <v>613147.65307434229</v>
      </c>
      <c r="AZ35" s="4">
        <f t="shared" si="69"/>
        <v>674462.41838177654</v>
      </c>
      <c r="BA35" s="4">
        <f t="shared" si="69"/>
        <v>741908.66021995421</v>
      </c>
      <c r="BB35" s="4">
        <f t="shared" si="69"/>
        <v>816099.52624194964</v>
      </c>
      <c r="BC35" s="4">
        <f t="shared" si="69"/>
        <v>897709.47886614467</v>
      </c>
      <c r="BD35" s="4">
        <f t="shared" si="69"/>
        <v>987480.42675275926</v>
      </c>
      <c r="BE35" s="4">
        <f t="shared" si="69"/>
        <v>1086228.4694280352</v>
      </c>
      <c r="BF35" s="4">
        <f t="shared" si="69"/>
        <v>1194851.3163708388</v>
      </c>
      <c r="BG35" s="4">
        <f t="shared" si="69"/>
        <v>1314336.4480079229</v>
      </c>
      <c r="BH35" s="4">
        <f t="shared" si="69"/>
        <v>1445770.0928087153</v>
      </c>
      <c r="BI35" s="4">
        <f t="shared" si="69"/>
        <v>1590347.1020895869</v>
      </c>
      <c r="BJ35" s="4">
        <f t="shared" si="69"/>
        <v>1749381.8122985458</v>
      </c>
      <c r="BK35" s="4">
        <f t="shared" si="69"/>
        <v>1924319.9935284005</v>
      </c>
      <c r="BL35" s="4">
        <f t="shared" si="69"/>
        <v>2116751.9928812408</v>
      </c>
      <c r="BM35" s="4">
        <f t="shared" si="69"/>
        <v>2328427.192169365</v>
      </c>
      <c r="BN35" s="4">
        <f t="shared" si="69"/>
        <v>2561269.9113863017</v>
      </c>
      <c r="BO35" s="4">
        <f t="shared" si="69"/>
        <v>2817396.9025249323</v>
      </c>
      <c r="BP35" s="4">
        <f t="shared" si="69"/>
        <v>3099136.5927774259</v>
      </c>
      <c r="BQ35" s="4">
        <f t="shared" si="69"/>
        <v>3409050.2520551686</v>
      </c>
      <c r="BR35" s="4">
        <f t="shared" si="69"/>
        <v>3749955.2772606858</v>
      </c>
      <c r="BS35" s="4">
        <f t="shared" si="69"/>
        <v>4124950.8049867549</v>
      </c>
      <c r="BT35" s="4">
        <f t="shared" si="69"/>
        <v>4537445.8854854312</v>
      </c>
      <c r="BU35" s="4">
        <f t="shared" si="69"/>
        <v>4991190.474033975</v>
      </c>
      <c r="BV35" s="4">
        <f t="shared" si="69"/>
        <v>5490309.521437373</v>
      </c>
      <c r="BW35" s="4">
        <f t="shared" si="69"/>
        <v>6039340.4735811111</v>
      </c>
      <c r="BX35" s="4">
        <f t="shared" ref="BX35:DC35" si="70">+BW35*(1+$AT$37)</f>
        <v>6643274.5209392225</v>
      </c>
      <c r="BY35" s="4">
        <f t="shared" si="70"/>
        <v>7307601.9730331451</v>
      </c>
      <c r="BZ35" s="4">
        <f t="shared" si="70"/>
        <v>8038362.1703364598</v>
      </c>
      <c r="CA35" s="4">
        <f t="shared" si="70"/>
        <v>8842198.3873701058</v>
      </c>
      <c r="CB35" s="4">
        <f t="shared" si="70"/>
        <v>9726418.2261071168</v>
      </c>
      <c r="CC35" s="4">
        <f t="shared" si="70"/>
        <v>10699060.048717828</v>
      </c>
      <c r="CD35" s="4">
        <f t="shared" si="70"/>
        <v>11768966.053589612</v>
      </c>
      <c r="CE35" s="4">
        <f t="shared" si="70"/>
        <v>12945862.658948574</v>
      </c>
      <c r="CF35" s="4">
        <f t="shared" si="70"/>
        <v>14240448.924843432</v>
      </c>
      <c r="CG35" s="4">
        <f t="shared" si="70"/>
        <v>15664493.817327777</v>
      </c>
      <c r="CH35" s="4">
        <f t="shared" si="70"/>
        <v>17230943.199060556</v>
      </c>
      <c r="CI35" s="4">
        <f t="shared" si="70"/>
        <v>18954037.518966611</v>
      </c>
      <c r="CJ35" s="4">
        <f t="shared" si="70"/>
        <v>20849441.270863276</v>
      </c>
      <c r="CK35" s="4">
        <f t="shared" si="70"/>
        <v>22934385.397949606</v>
      </c>
      <c r="CL35" s="4">
        <f t="shared" si="70"/>
        <v>25227823.937744569</v>
      </c>
      <c r="CM35" s="4">
        <f t="shared" si="70"/>
        <v>27750606.33151903</v>
      </c>
      <c r="CN35" s="4">
        <f t="shared" si="70"/>
        <v>30525666.964670934</v>
      </c>
      <c r="CO35" s="4">
        <f t="shared" si="70"/>
        <v>33578233.661138028</v>
      </c>
      <c r="CP35" s="4">
        <f t="shared" si="70"/>
        <v>36936057.027251832</v>
      </c>
      <c r="CQ35" s="4">
        <f t="shared" si="70"/>
        <v>40629662.729977019</v>
      </c>
      <c r="CR35" s="4">
        <f t="shared" si="70"/>
        <v>44692629.002974726</v>
      </c>
      <c r="CS35" s="4">
        <f t="shared" si="70"/>
        <v>49161891.903272204</v>
      </c>
      <c r="CT35" s="4">
        <f t="shared" si="70"/>
        <v>54078081.093599431</v>
      </c>
      <c r="CU35" s="4">
        <f t="shared" si="70"/>
        <v>59485889.202959381</v>
      </c>
      <c r="CV35" s="4">
        <f t="shared" si="70"/>
        <v>65434478.123255327</v>
      </c>
      <c r="CW35" s="4">
        <f t="shared" si="70"/>
        <v>71977925.935580865</v>
      </c>
      <c r="CX35" s="4">
        <f t="shared" si="70"/>
        <v>79175718.529138952</v>
      </c>
      <c r="CY35" s="4">
        <f t="shared" si="70"/>
        <v>87093290.382052854</v>
      </c>
      <c r="CZ35" s="4">
        <f t="shared" si="70"/>
        <v>95802619.42025815</v>
      </c>
      <c r="DA35" s="4">
        <f t="shared" si="70"/>
        <v>105382881.36228397</v>
      </c>
      <c r="DB35" s="4">
        <f t="shared" si="70"/>
        <v>115921169.49851239</v>
      </c>
      <c r="DC35" s="4">
        <f t="shared" si="70"/>
        <v>127513286.44836363</v>
      </c>
      <c r="DD35" s="4">
        <f t="shared" ref="DD35:EJ35" si="71">+DC35*(1+$AT$37)</f>
        <v>140264615.0932</v>
      </c>
      <c r="DE35" s="4">
        <f t="shared" si="71"/>
        <v>154291076.60252002</v>
      </c>
      <c r="DF35" s="4">
        <f t="shared" si="71"/>
        <v>169720184.26277202</v>
      </c>
      <c r="DG35" s="4">
        <f t="shared" si="71"/>
        <v>186692202.68904924</v>
      </c>
      <c r="DH35" s="4">
        <f t="shared" si="71"/>
        <v>205361422.9579542</v>
      </c>
      <c r="DI35" s="4">
        <f t="shared" si="71"/>
        <v>225897565.25374964</v>
      </c>
      <c r="DJ35" s="4">
        <f t="shared" si="71"/>
        <v>248487321.77912462</v>
      </c>
      <c r="DK35" s="4">
        <f t="shared" si="71"/>
        <v>273336053.95703709</v>
      </c>
      <c r="DL35" s="4">
        <f t="shared" si="71"/>
        <v>300669659.35274082</v>
      </c>
      <c r="DM35" s="4">
        <f t="shared" si="71"/>
        <v>330736625.28801495</v>
      </c>
      <c r="DN35" s="4">
        <f t="shared" si="71"/>
        <v>363810287.81681645</v>
      </c>
      <c r="DO35" s="4">
        <f t="shared" si="71"/>
        <v>400191316.59849811</v>
      </c>
      <c r="DP35" s="4">
        <f t="shared" si="71"/>
        <v>440210448.25834793</v>
      </c>
      <c r="DQ35" s="4">
        <f t="shared" si="71"/>
        <v>484231493.08418274</v>
      </c>
      <c r="DR35" s="4">
        <f t="shared" si="71"/>
        <v>532654642.39260107</v>
      </c>
      <c r="DS35" s="4">
        <f t="shared" si="71"/>
        <v>585920106.63186121</v>
      </c>
      <c r="DT35" s="4">
        <f t="shared" si="71"/>
        <v>644512117.2950474</v>
      </c>
      <c r="DU35" s="4">
        <f t="shared" si="71"/>
        <v>708963329.02455223</v>
      </c>
      <c r="DV35" s="4">
        <f t="shared" si="71"/>
        <v>779859661.92700756</v>
      </c>
      <c r="DW35" s="4">
        <f t="shared" si="71"/>
        <v>857845628.11970842</v>
      </c>
      <c r="DX35" s="4">
        <f t="shared" si="71"/>
        <v>943630190.93167937</v>
      </c>
      <c r="DY35" s="4">
        <f t="shared" si="71"/>
        <v>1037993210.0248474</v>
      </c>
      <c r="DZ35" s="4">
        <f t="shared" si="71"/>
        <v>1141792531.0273323</v>
      </c>
      <c r="EA35" s="4">
        <f t="shared" si="71"/>
        <v>1255971784.1300657</v>
      </c>
      <c r="EB35" s="4">
        <f t="shared" si="71"/>
        <v>1381568962.5430725</v>
      </c>
      <c r="EC35" s="4">
        <f t="shared" si="71"/>
        <v>1519725858.7973797</v>
      </c>
      <c r="ED35" s="4">
        <f t="shared" si="71"/>
        <v>1671698444.6771178</v>
      </c>
      <c r="EE35" s="4">
        <f t="shared" si="71"/>
        <v>1838868289.1448298</v>
      </c>
      <c r="EF35" s="4">
        <f t="shared" si="71"/>
        <v>2022755118.0593128</v>
      </c>
      <c r="EG35" s="4">
        <f t="shared" si="71"/>
        <v>2225030629.8652444</v>
      </c>
      <c r="EH35" s="4">
        <f t="shared" si="71"/>
        <v>2447533692.851769</v>
      </c>
      <c r="EI35" s="4">
        <f t="shared" si="71"/>
        <v>2692287062.1369462</v>
      </c>
      <c r="EJ35" s="4">
        <f t="shared" si="71"/>
        <v>2961515768.3506413</v>
      </c>
    </row>
    <row r="36" spans="2:140" s="7" customFormat="1" x14ac:dyDescent="0.2">
      <c r="B36" s="7" t="s">
        <v>26</v>
      </c>
      <c r="J36" s="7">
        <f>+J35/J37</f>
        <v>1.0898876404494382</v>
      </c>
      <c r="K36" s="7">
        <f t="shared" ref="K36:O36" si="72">+K35/K37</f>
        <v>0.74596309111880044</v>
      </c>
      <c r="L36" s="7">
        <f t="shared" si="72"/>
        <v>0.65727429557216788</v>
      </c>
      <c r="M36" s="7">
        <f t="shared" si="72"/>
        <v>0.52705410821643284</v>
      </c>
      <c r="N36" s="7">
        <f t="shared" si="72"/>
        <v>2.3161512027491411</v>
      </c>
      <c r="O36" s="7">
        <f t="shared" si="72"/>
        <v>0.29735935706084959</v>
      </c>
      <c r="P36" s="7">
        <f t="shared" ref="P36:R36" si="73">+P35/P37</f>
        <v>0.60097673082447578</v>
      </c>
      <c r="Q36" s="7">
        <f t="shared" si="73"/>
        <v>0.71718615956534171</v>
      </c>
      <c r="R36" s="7">
        <f t="shared" si="73"/>
        <v>0.42820585726471422</v>
      </c>
      <c r="S36" s="7">
        <f t="shared" ref="S36" si="74">+S35/S37</f>
        <v>0.17977847202499289</v>
      </c>
      <c r="AE36" s="7">
        <f t="shared" ref="AE36" si="75">+AE35/AE37</f>
        <v>3.6851798561151079</v>
      </c>
      <c r="AF36" s="7">
        <f t="shared" ref="AF36:AG36" si="76">+AF35/AF37</f>
        <v>4.2473457675753226</v>
      </c>
      <c r="AG36" s="7">
        <f t="shared" si="76"/>
        <v>2.0436368838972743</v>
      </c>
    </row>
    <row r="37" spans="2:140" x14ac:dyDescent="0.2">
      <c r="B37" s="2" t="s">
        <v>2</v>
      </c>
      <c r="J37" s="2">
        <v>3471</v>
      </c>
      <c r="K37" s="2">
        <v>3468</v>
      </c>
      <c r="L37" s="2">
        <v>3478</v>
      </c>
      <c r="M37" s="2">
        <v>3493</v>
      </c>
      <c r="N37" s="2">
        <v>3492</v>
      </c>
      <c r="O37" s="2">
        <v>3484</v>
      </c>
      <c r="P37" s="2">
        <v>3481</v>
      </c>
      <c r="Q37" s="2">
        <v>3497</v>
      </c>
      <c r="R37" s="2">
        <v>3517</v>
      </c>
      <c r="S37" s="2">
        <v>3521</v>
      </c>
      <c r="AE37" s="2">
        <v>3475</v>
      </c>
      <c r="AF37" s="2">
        <v>3485</v>
      </c>
      <c r="AG37" s="2">
        <f>+AVERAGE(O37:R37)</f>
        <v>3494.75</v>
      </c>
      <c r="AS37" s="2" t="s">
        <v>80</v>
      </c>
      <c r="AT37" s="6">
        <v>0.1</v>
      </c>
    </row>
    <row r="38" spans="2:140" x14ac:dyDescent="0.2">
      <c r="AS38" s="7" t="s">
        <v>81</v>
      </c>
      <c r="AT38" s="6">
        <v>0.1</v>
      </c>
    </row>
    <row r="39" spans="2:140" s="6" customFormat="1" x14ac:dyDescent="0.2">
      <c r="B39" s="6" t="s">
        <v>120</v>
      </c>
      <c r="J39" s="6">
        <f t="shared" ref="J39:R39" si="77">+J20/J12</f>
        <v>0.23753767106368262</v>
      </c>
      <c r="K39" s="6">
        <f t="shared" si="77"/>
        <v>0.1830702404915775</v>
      </c>
      <c r="L39" s="6">
        <f t="shared" si="77"/>
        <v>0.17522895342573094</v>
      </c>
      <c r="M39" s="6">
        <f t="shared" si="77"/>
        <v>0.15746421267893659</v>
      </c>
      <c r="N39" s="6">
        <f t="shared" si="77"/>
        <v>0.16616577799321378</v>
      </c>
      <c r="O39" s="6">
        <f t="shared" si="77"/>
        <v>0.15571081409477522</v>
      </c>
      <c r="P39" s="6">
        <f t="shared" si="77"/>
        <v>0.13858607663248787</v>
      </c>
      <c r="Q39" s="6">
        <f t="shared" si="77"/>
        <v>0.16398491848547608</v>
      </c>
      <c r="R39" s="6">
        <f t="shared" si="77"/>
        <v>0.12814191542955142</v>
      </c>
      <c r="S39" s="6">
        <f>+S20/S12</f>
        <v>0.1132688588007737</v>
      </c>
      <c r="AE39" s="6">
        <f t="shared" ref="AE39:AG39" si="78">+AE20/AE12</f>
        <v>0.26202945990180032</v>
      </c>
      <c r="AF39" s="6">
        <f t="shared" si="78"/>
        <v>0.17052821969455731</v>
      </c>
      <c r="AG39" s="6">
        <f t="shared" si="78"/>
        <v>0.14638520971302429</v>
      </c>
    </row>
    <row r="40" spans="2:140" s="6" customFormat="1" x14ac:dyDescent="0.2">
      <c r="B40" s="6" t="s">
        <v>11</v>
      </c>
      <c r="J40" s="6">
        <f>+J26/J18</f>
        <v>0.23756065465910026</v>
      </c>
      <c r="K40" s="6">
        <f t="shared" ref="K40:R40" si="79">+K26/K18</f>
        <v>0.19336448197522396</v>
      </c>
      <c r="L40" s="6">
        <f t="shared" si="79"/>
        <v>0.18185100493440848</v>
      </c>
      <c r="M40" s="6">
        <f t="shared" si="79"/>
        <v>0.17892933618843684</v>
      </c>
      <c r="N40" s="6">
        <f t="shared" si="79"/>
        <v>0.17634203520483172</v>
      </c>
      <c r="O40" s="6">
        <f t="shared" si="79"/>
        <v>0.1735129806112389</v>
      </c>
      <c r="P40" s="6">
        <f t="shared" si="79"/>
        <v>0.17952941176470588</v>
      </c>
      <c r="Q40" s="6">
        <f t="shared" si="79"/>
        <v>0.19843539035819235</v>
      </c>
      <c r="R40" s="6">
        <f t="shared" si="79"/>
        <v>0.16256272610572994</v>
      </c>
      <c r="S40" s="6">
        <f t="shared" ref="S40" si="80">+S26/S18</f>
        <v>0.16307214895267649</v>
      </c>
      <c r="AE40" s="6">
        <f>+AE26/AE18</f>
        <v>0.25598438535759005</v>
      </c>
      <c r="AF40" s="6">
        <f>+AF26/AF18</f>
        <v>0.18248891736331416</v>
      </c>
      <c r="AG40" s="6">
        <f>+AG26/AG18</f>
        <v>0.17862626676220697</v>
      </c>
      <c r="AS40" s="2" t="s">
        <v>82</v>
      </c>
      <c r="AT40" s="2">
        <f>+NPV(AT38,AH35:EJ35)+Main!K7-Main!K8</f>
        <v>11305762.202072745</v>
      </c>
    </row>
    <row r="41" spans="2:140" s="6" customFormat="1" x14ac:dyDescent="0.2">
      <c r="B41" s="6" t="s">
        <v>12</v>
      </c>
      <c r="J41" s="6">
        <f>+J30/J18</f>
        <v>0.16181429393864627</v>
      </c>
      <c r="K41" s="6">
        <f t="shared" ref="K41:R41" si="81">+K30/K18</f>
        <v>0.11419263577521539</v>
      </c>
      <c r="L41" s="6">
        <f t="shared" si="81"/>
        <v>9.6241023789465238E-2</v>
      </c>
      <c r="M41" s="6">
        <f t="shared" si="81"/>
        <v>7.5546038543897215E-2</v>
      </c>
      <c r="N41" s="6">
        <f t="shared" si="81"/>
        <v>8.2012158779353916E-2</v>
      </c>
      <c r="O41" s="6">
        <f t="shared" si="81"/>
        <v>5.4973944885216654E-2</v>
      </c>
      <c r="P41" s="6">
        <f t="shared" si="81"/>
        <v>8.7333333333333332E-2</v>
      </c>
      <c r="Q41" s="6">
        <f t="shared" si="81"/>
        <v>0.11007862759113653</v>
      </c>
      <c r="R41" s="6">
        <f t="shared" si="81"/>
        <v>6.1850857743027191E-2</v>
      </c>
      <c r="S41" s="6">
        <f t="shared" ref="S41" si="82">+S30/S18</f>
        <v>2.5497801913628135E-2</v>
      </c>
      <c r="AE41" s="6">
        <f>+AE30/AE18</f>
        <v>0.16979696054602145</v>
      </c>
      <c r="AF41" s="6">
        <f>+AF30/AF18</f>
        <v>9.1874799789197395E-2</v>
      </c>
      <c r="AG41" s="6">
        <f>+AG30/AG18</f>
        <v>7.9434947282219268E-2</v>
      </c>
      <c r="AS41" s="2" t="s">
        <v>2</v>
      </c>
      <c r="AT41" s="7">
        <f>+AT40/Main!K5</f>
        <v>3510.063925570314</v>
      </c>
    </row>
    <row r="42" spans="2:140" s="6" customFormat="1" x14ac:dyDescent="0.2">
      <c r="B42" s="6" t="s">
        <v>13</v>
      </c>
      <c r="J42" s="6">
        <f>+J35/J18</f>
        <v>0.15556377991611153</v>
      </c>
      <c r="K42" s="6">
        <f t="shared" ref="K42:R42" si="83">+K35/K18</f>
        <v>0.11089202280423507</v>
      </c>
      <c r="L42" s="6">
        <f t="shared" si="83"/>
        <v>9.1707786737272839E-2</v>
      </c>
      <c r="M42" s="6">
        <f t="shared" si="83"/>
        <v>7.8843683083511779E-2</v>
      </c>
      <c r="N42" s="6">
        <f t="shared" si="83"/>
        <v>0.32137322684467756</v>
      </c>
      <c r="O42" s="6">
        <f t="shared" si="83"/>
        <v>4.8636214262241212E-2</v>
      </c>
      <c r="P42" s="6">
        <f t="shared" si="83"/>
        <v>8.2039215686274508E-2</v>
      </c>
      <c r="Q42" s="6">
        <f t="shared" si="83"/>
        <v>9.9594948772933053E-2</v>
      </c>
      <c r="R42" s="6">
        <f t="shared" si="83"/>
        <v>5.8583265258489906E-2</v>
      </c>
      <c r="S42" s="6">
        <f t="shared" ref="S42" si="84">+S35/S18</f>
        <v>3.2738557020946468E-2</v>
      </c>
      <c r="AE42" s="6">
        <f>+AE35/AE18</f>
        <v>0.15720213105497041</v>
      </c>
      <c r="AF42" s="6">
        <f>+AF35/AF18</f>
        <v>0.15295588645593294</v>
      </c>
      <c r="AG42" s="6">
        <f>+AG35/AG18</f>
        <v>7.310881359402191E-2</v>
      </c>
      <c r="AS42" s="6" t="s">
        <v>83</v>
      </c>
    </row>
    <row r="43" spans="2:140" s="6" customFormat="1" x14ac:dyDescent="0.2">
      <c r="B43" s="6" t="s">
        <v>14</v>
      </c>
      <c r="J43" s="6">
        <f>+J34/J33</f>
        <v>6.7997043606799701E-2</v>
      </c>
      <c r="K43" s="6">
        <f t="shared" ref="K43:O43" si="85">+K34/K33</f>
        <v>9.1643258426966287E-2</v>
      </c>
      <c r="L43" s="6">
        <f t="shared" si="85"/>
        <v>0.1238022230739747</v>
      </c>
      <c r="M43" s="6">
        <f t="shared" si="85"/>
        <v>8.3167330677290832E-2</v>
      </c>
      <c r="N43" s="6">
        <f t="shared" si="85"/>
        <v>-2.4623287671232879</v>
      </c>
      <c r="O43" s="6">
        <f t="shared" si="85"/>
        <v>0.28304498269896194</v>
      </c>
      <c r="P43" s="6">
        <f t="shared" ref="P43:Q43" si="86">+P34/P33</f>
        <v>0.16353458616553379</v>
      </c>
      <c r="Q43" s="6">
        <f t="shared" si="86"/>
        <v>0.1933097458990029</v>
      </c>
      <c r="R43" s="6">
        <f t="shared" ref="R43:S43" si="87">+R34/R33</f>
        <v>0.21725571725571727</v>
      </c>
      <c r="S43" s="6">
        <f t="shared" si="87"/>
        <v>0.21072319201995013</v>
      </c>
      <c r="AE43" s="6">
        <f t="shared" ref="AE43" si="88">+AE34/AE33</f>
        <v>8.1216817333907301E-2</v>
      </c>
      <c r="AF43" s="6">
        <f t="shared" ref="AF43:AG43" si="89">+AF34/AF33</f>
        <v>-0.51025405570860116</v>
      </c>
      <c r="AG43" s="6">
        <f t="shared" si="89"/>
        <v>0.20458848424100678</v>
      </c>
    </row>
    <row r="44" spans="2:140" s="6" customFormat="1" x14ac:dyDescent="0.2"/>
    <row r="45" spans="2:140" s="11" customFormat="1" x14ac:dyDescent="0.2">
      <c r="B45" s="11" t="s">
        <v>15</v>
      </c>
      <c r="N45" s="11">
        <f>+N18/J18-1</f>
        <v>3.4912410560078877E-2</v>
      </c>
      <c r="O45" s="11">
        <f t="shared" ref="O45:S45" si="90">+O18/K18-1</f>
        <v>-8.6930429936988296E-2</v>
      </c>
      <c r="P45" s="11">
        <f t="shared" si="90"/>
        <v>2.2987122397400306E-2</v>
      </c>
      <c r="Q45" s="11">
        <f t="shared" si="90"/>
        <v>7.8458244111349051E-2</v>
      </c>
      <c r="R45" s="11">
        <f t="shared" si="90"/>
        <v>2.1456669448086885E-2</v>
      </c>
      <c r="S45" s="11">
        <f t="shared" si="90"/>
        <v>-9.2296136331627587E-2</v>
      </c>
      <c r="AE45" s="11" t="e">
        <f t="shared" ref="AE45:AL45" si="91">+AE18/AD18-1</f>
        <v>#DIV/0!</v>
      </c>
      <c r="AF45" s="11">
        <f t="shared" si="91"/>
        <v>0.18795266504627928</v>
      </c>
      <c r="AG45" s="11">
        <f t="shared" si="91"/>
        <v>9.4757835346634955E-3</v>
      </c>
      <c r="AH45" s="11">
        <f t="shared" si="91"/>
        <v>0.19999999999999996</v>
      </c>
      <c r="AI45" s="11">
        <f t="shared" si="91"/>
        <v>0.19999999999999996</v>
      </c>
      <c r="AJ45" s="11">
        <f t="shared" si="91"/>
        <v>0.19999999999999996</v>
      </c>
      <c r="AK45" s="11">
        <f t="shared" si="91"/>
        <v>0.19999999999999996</v>
      </c>
      <c r="AL45" s="11">
        <f t="shared" si="91"/>
        <v>0.19999999999999996</v>
      </c>
      <c r="AM45" s="11">
        <f>+AM18/AL18-1</f>
        <v>0.19999999999999996</v>
      </c>
      <c r="AN45" s="11">
        <f t="shared" ref="AN45:AQ45" si="92">+AN18/AM18-1</f>
        <v>0.19999999999999996</v>
      </c>
      <c r="AO45" s="11">
        <f t="shared" si="92"/>
        <v>0.19999999999999996</v>
      </c>
      <c r="AP45" s="11">
        <f t="shared" si="92"/>
        <v>0.19999999999999996</v>
      </c>
      <c r="AQ45" s="11">
        <f t="shared" si="92"/>
        <v>0.19999999999999996</v>
      </c>
    </row>
    <row r="46" spans="2:140" s="6" customFormat="1" x14ac:dyDescent="0.2"/>
    <row r="47" spans="2:140" x14ac:dyDescent="0.2">
      <c r="B47" s="2" t="s">
        <v>31</v>
      </c>
      <c r="J47" s="2">
        <f>+J48-J63</f>
        <v>19270</v>
      </c>
      <c r="K47" s="2">
        <f t="shared" ref="K47:R47" si="93">+K48-K63</f>
        <v>19910</v>
      </c>
      <c r="L47" s="2">
        <f t="shared" si="93"/>
        <v>20928</v>
      </c>
      <c r="M47" s="2">
        <f t="shared" si="93"/>
        <v>21031</v>
      </c>
      <c r="N47" s="2">
        <f t="shared" si="93"/>
        <v>24048</v>
      </c>
      <c r="O47" s="2">
        <f t="shared" si="93"/>
        <v>21687</v>
      </c>
      <c r="P47" s="2">
        <f t="shared" si="93"/>
        <v>23159</v>
      </c>
      <c r="Q47" s="2">
        <f t="shared" si="93"/>
        <v>26136</v>
      </c>
      <c r="R47" s="2">
        <f t="shared" si="93"/>
        <v>29426</v>
      </c>
      <c r="S47" s="2">
        <f t="shared" ref="S47" si="94">+S48-S63</f>
        <v>30418</v>
      </c>
      <c r="AE47" s="2">
        <f t="shared" ref="AE47" si="95">+AE48-AE63</f>
        <v>19270</v>
      </c>
      <c r="AF47" s="2">
        <f t="shared" ref="AF47" si="96">+AF48-AF63</f>
        <v>24048</v>
      </c>
      <c r="AG47" s="2">
        <f t="shared" ref="AG47" si="97">+AG48-AG63</f>
        <v>29426</v>
      </c>
      <c r="AH47" s="2">
        <f>+AG47+AH35</f>
        <v>44624.031999999999</v>
      </c>
      <c r="AI47" s="2">
        <f>+AH47+AI35</f>
        <v>70666.541024000006</v>
      </c>
      <c r="AJ47" s="2">
        <f>+AI47+AJ35</f>
        <v>110745.151336768</v>
      </c>
      <c r="AK47" s="2">
        <f>+AJ47+AK35</f>
        <v>168803.17972954456</v>
      </c>
      <c r="AL47" s="2">
        <f>+AK47+AL35</f>
        <v>249698.16728338995</v>
      </c>
      <c r="AM47" s="2">
        <f>+AL47+AM35</f>
        <v>359398.23943733337</v>
      </c>
    </row>
    <row r="48" spans="2:140" x14ac:dyDescent="0.2">
      <c r="B48" s="2" t="s">
        <v>4</v>
      </c>
      <c r="J48" s="2">
        <f>22185+184</f>
        <v>22369</v>
      </c>
      <c r="K48" s="2">
        <f>16048+6354+184</f>
        <v>22586</v>
      </c>
      <c r="L48" s="2">
        <f>15296+7779+184</f>
        <v>23259</v>
      </c>
      <c r="M48" s="2">
        <f>15932+10145+184</f>
        <v>26261</v>
      </c>
      <c r="N48" s="2">
        <f>16398+12696+184</f>
        <v>29278</v>
      </c>
      <c r="O48" s="2">
        <f>11805+15058+184</f>
        <v>27047</v>
      </c>
      <c r="P48" s="2">
        <f>14635+16085+184</f>
        <v>30904</v>
      </c>
      <c r="Q48" s="2">
        <f>18111+15537+184</f>
        <v>33832</v>
      </c>
      <c r="R48" s="2">
        <f>16139+20424+1076</f>
        <v>37639</v>
      </c>
      <c r="S48" s="2">
        <f>16352+20644+951</f>
        <v>37947</v>
      </c>
      <c r="AE48" s="2">
        <f>22185+184</f>
        <v>22369</v>
      </c>
      <c r="AF48" s="2">
        <f>16398+12696+184</f>
        <v>29278</v>
      </c>
      <c r="AG48" s="2">
        <f>16139+20424+1076</f>
        <v>37639</v>
      </c>
    </row>
    <row r="49" spans="2:33" x14ac:dyDescent="0.2">
      <c r="B49" s="2" t="s">
        <v>32</v>
      </c>
      <c r="J49" s="2">
        <v>2952</v>
      </c>
      <c r="K49" s="2">
        <v>2993</v>
      </c>
      <c r="L49" s="2">
        <v>3447</v>
      </c>
      <c r="M49" s="2">
        <v>2520</v>
      </c>
      <c r="N49" s="2">
        <v>3508</v>
      </c>
      <c r="O49" s="2">
        <v>3887</v>
      </c>
      <c r="P49" s="2">
        <v>3737</v>
      </c>
      <c r="Q49" s="2">
        <v>3313</v>
      </c>
      <c r="R49" s="2">
        <v>4418</v>
      </c>
      <c r="S49" s="2">
        <v>3782</v>
      </c>
      <c r="AE49" s="2">
        <v>2952</v>
      </c>
      <c r="AF49" s="2">
        <v>3508</v>
      </c>
      <c r="AG49" s="2">
        <v>4418</v>
      </c>
    </row>
    <row r="50" spans="2:33" x14ac:dyDescent="0.2">
      <c r="B50" s="2" t="s">
        <v>33</v>
      </c>
      <c r="J50" s="2">
        <v>12839</v>
      </c>
      <c r="K50" s="2">
        <v>14375</v>
      </c>
      <c r="L50" s="2">
        <v>14356</v>
      </c>
      <c r="M50" s="2">
        <v>13721</v>
      </c>
      <c r="N50" s="2">
        <v>13626</v>
      </c>
      <c r="O50" s="2">
        <v>16033</v>
      </c>
      <c r="P50" s="2">
        <v>14195</v>
      </c>
      <c r="Q50" s="2">
        <v>14530</v>
      </c>
      <c r="R50" s="2">
        <v>12017</v>
      </c>
      <c r="S50" s="2">
        <v>13706</v>
      </c>
      <c r="AE50" s="2">
        <v>12839</v>
      </c>
      <c r="AF50" s="2">
        <v>13626</v>
      </c>
      <c r="AG50" s="2">
        <v>12017</v>
      </c>
    </row>
    <row r="51" spans="2:33" x14ac:dyDescent="0.2">
      <c r="B51" s="2" t="s">
        <v>34</v>
      </c>
      <c r="J51" s="2">
        <v>2941</v>
      </c>
      <c r="K51" s="2">
        <v>3227</v>
      </c>
      <c r="L51" s="2">
        <v>2997</v>
      </c>
      <c r="M51" s="2">
        <v>2708</v>
      </c>
      <c r="N51" s="2">
        <v>3388</v>
      </c>
      <c r="O51" s="2">
        <v>3752</v>
      </c>
      <c r="P51" s="2">
        <v>4325</v>
      </c>
      <c r="Q51" s="2">
        <v>4888</v>
      </c>
      <c r="R51" s="2">
        <v>5362</v>
      </c>
      <c r="S51" s="2">
        <v>4905</v>
      </c>
      <c r="AE51" s="2">
        <v>2941</v>
      </c>
      <c r="AF51" s="2">
        <v>3388</v>
      </c>
      <c r="AG51" s="2">
        <v>5362</v>
      </c>
    </row>
    <row r="52" spans="2:33" x14ac:dyDescent="0.2">
      <c r="B52" s="2" t="s">
        <v>38</v>
      </c>
      <c r="J52" s="2">
        <v>5035</v>
      </c>
      <c r="K52" s="2">
        <v>5473</v>
      </c>
      <c r="L52" s="2">
        <v>5935</v>
      </c>
      <c r="M52" s="2">
        <v>6119</v>
      </c>
      <c r="N52" s="2">
        <v>5989</v>
      </c>
      <c r="O52" s="2">
        <v>5736</v>
      </c>
      <c r="P52" s="2">
        <v>5541</v>
      </c>
      <c r="Q52" s="2">
        <v>5380</v>
      </c>
      <c r="R52" s="2">
        <v>5581</v>
      </c>
      <c r="S52" s="2">
        <v>5477</v>
      </c>
      <c r="AE52" s="2">
        <v>5035</v>
      </c>
      <c r="AF52" s="2">
        <v>5989</v>
      </c>
      <c r="AG52" s="2">
        <v>5581</v>
      </c>
    </row>
    <row r="53" spans="2:33" x14ac:dyDescent="0.2">
      <c r="B53" s="2" t="s">
        <v>36</v>
      </c>
      <c r="J53" s="2">
        <v>5489</v>
      </c>
      <c r="K53" s="2">
        <v>5427</v>
      </c>
      <c r="L53" s="2">
        <v>5365</v>
      </c>
      <c r="M53" s="2">
        <v>5293</v>
      </c>
      <c r="N53" s="2">
        <v>5229</v>
      </c>
      <c r="O53" s="2">
        <v>5162</v>
      </c>
      <c r="P53" s="2">
        <v>5102</v>
      </c>
      <c r="Q53" s="2">
        <v>5040</v>
      </c>
      <c r="R53" s="2">
        <v>4924</v>
      </c>
      <c r="S53" s="2">
        <v>4855</v>
      </c>
      <c r="AE53" s="2">
        <v>5489</v>
      </c>
      <c r="AF53" s="2">
        <v>5229</v>
      </c>
      <c r="AG53" s="2">
        <v>4924</v>
      </c>
    </row>
    <row r="54" spans="2:33" x14ac:dyDescent="0.2">
      <c r="B54" s="2" t="s">
        <v>37</v>
      </c>
      <c r="J54" s="2">
        <v>23548</v>
      </c>
      <c r="K54" s="2">
        <v>24969</v>
      </c>
      <c r="L54" s="2">
        <v>26389</v>
      </c>
      <c r="M54" s="2">
        <v>27744</v>
      </c>
      <c r="N54" s="2">
        <v>29725</v>
      </c>
      <c r="O54" s="2">
        <v>31436</v>
      </c>
      <c r="P54" s="2">
        <v>32902</v>
      </c>
      <c r="Q54" s="2">
        <v>36116</v>
      </c>
      <c r="R54" s="2">
        <v>35836</v>
      </c>
      <c r="S54" s="2">
        <v>37088</v>
      </c>
      <c r="AE54" s="2">
        <v>23548</v>
      </c>
      <c r="AF54" s="2">
        <v>29725</v>
      </c>
      <c r="AG54" s="2">
        <v>35836</v>
      </c>
    </row>
    <row r="55" spans="2:33" x14ac:dyDescent="0.2">
      <c r="B55" s="2" t="s">
        <v>35</v>
      </c>
      <c r="J55" s="2">
        <v>2563</v>
      </c>
      <c r="K55" s="2">
        <v>2800</v>
      </c>
      <c r="L55" s="2">
        <v>3352</v>
      </c>
      <c r="M55" s="2">
        <v>3637</v>
      </c>
      <c r="N55" s="2">
        <v>4180</v>
      </c>
      <c r="O55" s="2">
        <v>4367</v>
      </c>
      <c r="P55" s="2">
        <v>4563</v>
      </c>
      <c r="Q55" s="2">
        <v>4867</v>
      </c>
      <c r="R55" s="2">
        <v>5160</v>
      </c>
      <c r="S55" s="2">
        <v>5330</v>
      </c>
      <c r="AE55" s="2">
        <v>2563</v>
      </c>
      <c r="AF55" s="2">
        <v>4180</v>
      </c>
      <c r="AG55" s="2">
        <v>5160</v>
      </c>
    </row>
    <row r="56" spans="2:33" x14ac:dyDescent="0.2">
      <c r="B56" s="2" t="s">
        <v>40</v>
      </c>
      <c r="J56" s="2">
        <f>409+328</f>
        <v>737</v>
      </c>
      <c r="K56" s="2">
        <f>204+195</f>
        <v>399</v>
      </c>
      <c r="L56" s="2">
        <f>202+263</f>
        <v>465</v>
      </c>
      <c r="M56" s="2">
        <f>191+250</f>
        <v>441</v>
      </c>
      <c r="N56" s="2">
        <f>178+253</f>
        <v>431</v>
      </c>
      <c r="O56" s="2">
        <f>171+250</f>
        <v>421</v>
      </c>
      <c r="P56" s="2">
        <f>249+164</f>
        <v>413</v>
      </c>
      <c r="Q56" s="2">
        <f>158+253</f>
        <v>411</v>
      </c>
      <c r="R56" s="2">
        <f>244+150</f>
        <v>394</v>
      </c>
      <c r="S56" s="2">
        <f>144+248</f>
        <v>392</v>
      </c>
      <c r="AE56" s="2">
        <f>409+328</f>
        <v>737</v>
      </c>
      <c r="AF56" s="2">
        <f>178+253</f>
        <v>431</v>
      </c>
      <c r="AG56" s="2">
        <f>244+150</f>
        <v>394</v>
      </c>
    </row>
    <row r="57" spans="2:33" x14ac:dyDescent="0.2">
      <c r="B57" s="2" t="s">
        <v>41</v>
      </c>
      <c r="J57" s="2">
        <v>0</v>
      </c>
      <c r="K57" s="2">
        <v>0</v>
      </c>
      <c r="L57" s="2">
        <v>0</v>
      </c>
      <c r="M57" s="2">
        <v>0</v>
      </c>
      <c r="N57" s="2">
        <v>6733</v>
      </c>
      <c r="O57" s="2">
        <v>6769</v>
      </c>
      <c r="P57" s="2">
        <v>6692</v>
      </c>
      <c r="Q57" s="2">
        <v>6486</v>
      </c>
      <c r="R57" s="2">
        <v>6524</v>
      </c>
      <c r="S57" s="2">
        <v>6687</v>
      </c>
      <c r="AE57" s="2">
        <v>0</v>
      </c>
      <c r="AF57" s="2">
        <v>6733</v>
      </c>
      <c r="AG57" s="2">
        <v>6524</v>
      </c>
    </row>
    <row r="58" spans="2:33" x14ac:dyDescent="0.2">
      <c r="B58" s="2" t="s">
        <v>42</v>
      </c>
      <c r="J58" s="2">
        <v>3865</v>
      </c>
      <c r="K58" s="2">
        <v>4584</v>
      </c>
      <c r="L58" s="2">
        <v>5026</v>
      </c>
      <c r="M58" s="2">
        <v>5497</v>
      </c>
      <c r="N58" s="2">
        <v>4531</v>
      </c>
      <c r="O58" s="2">
        <v>4616</v>
      </c>
      <c r="P58" s="2">
        <v>4458</v>
      </c>
      <c r="Q58" s="2">
        <v>4989</v>
      </c>
      <c r="R58" s="2">
        <v>4215</v>
      </c>
      <c r="S58" s="2">
        <v>4942</v>
      </c>
      <c r="AE58" s="2">
        <v>3865</v>
      </c>
      <c r="AF58" s="2">
        <v>4531</v>
      </c>
      <c r="AG58" s="2">
        <v>4215</v>
      </c>
    </row>
    <row r="59" spans="2:33" s="4" customFormat="1" x14ac:dyDescent="0.2">
      <c r="B59" s="4" t="s">
        <v>43</v>
      </c>
      <c r="J59" s="4">
        <f>+SUM(J48:J58)</f>
        <v>82338</v>
      </c>
      <c r="K59" s="4">
        <f t="shared" ref="K59:R59" si="98">+SUM(K48:K58)</f>
        <v>86833</v>
      </c>
      <c r="L59" s="4">
        <f t="shared" si="98"/>
        <v>90591</v>
      </c>
      <c r="M59" s="4">
        <f t="shared" si="98"/>
        <v>93941</v>
      </c>
      <c r="N59" s="4">
        <f t="shared" si="98"/>
        <v>106618</v>
      </c>
      <c r="O59" s="4">
        <f t="shared" si="98"/>
        <v>109226</v>
      </c>
      <c r="P59" s="4">
        <f t="shared" si="98"/>
        <v>112832</v>
      </c>
      <c r="Q59" s="4">
        <f t="shared" si="98"/>
        <v>119852</v>
      </c>
      <c r="R59" s="4">
        <f t="shared" si="98"/>
        <v>122070</v>
      </c>
      <c r="S59" s="4">
        <f t="shared" ref="S59" si="99">+SUM(S48:S58)</f>
        <v>125111</v>
      </c>
      <c r="AE59" s="4">
        <f>+SUM(AE48:AE58)</f>
        <v>82338</v>
      </c>
      <c r="AF59" s="4">
        <f t="shared" ref="AF59" si="100">+SUM(AF48:AF58)</f>
        <v>106618</v>
      </c>
      <c r="AG59" s="4">
        <f t="shared" ref="AG59" si="101">+SUM(AG48:AG58)</f>
        <v>122070</v>
      </c>
    </row>
    <row r="60" spans="2:33" x14ac:dyDescent="0.2">
      <c r="B60" s="2" t="s">
        <v>44</v>
      </c>
      <c r="J60" s="2">
        <v>15255</v>
      </c>
      <c r="K60" s="2">
        <v>15904</v>
      </c>
      <c r="L60" s="2">
        <v>15273</v>
      </c>
      <c r="M60" s="2">
        <v>14431</v>
      </c>
      <c r="N60" s="2">
        <v>14431</v>
      </c>
      <c r="O60" s="2">
        <v>14725</v>
      </c>
      <c r="P60" s="2">
        <v>13056</v>
      </c>
      <c r="Q60" s="2">
        <v>14654</v>
      </c>
      <c r="R60" s="2">
        <v>12474</v>
      </c>
      <c r="S60" s="2">
        <v>13471</v>
      </c>
      <c r="AE60" s="2">
        <v>15255</v>
      </c>
      <c r="AF60" s="2">
        <v>14431</v>
      </c>
      <c r="AG60" s="2">
        <v>12474</v>
      </c>
    </row>
    <row r="61" spans="2:33" x14ac:dyDescent="0.2">
      <c r="B61" s="2" t="s">
        <v>45</v>
      </c>
      <c r="J61" s="2">
        <v>8205</v>
      </c>
      <c r="K61" s="2">
        <f>7321+1057</f>
        <v>8378</v>
      </c>
      <c r="L61" s="2">
        <f>7658+1026</f>
        <v>8684</v>
      </c>
      <c r="M61" s="2">
        <v>9080</v>
      </c>
      <c r="N61" s="2">
        <v>9080</v>
      </c>
      <c r="O61" s="2">
        <v>9243</v>
      </c>
      <c r="P61" s="2">
        <v>9616</v>
      </c>
      <c r="Q61" s="2">
        <v>10601</v>
      </c>
      <c r="R61" s="2">
        <v>10723</v>
      </c>
      <c r="S61" s="2">
        <v>10802</v>
      </c>
      <c r="AE61" s="2">
        <v>8205</v>
      </c>
      <c r="AF61" s="2">
        <v>9080</v>
      </c>
      <c r="AG61" s="2">
        <v>10723</v>
      </c>
    </row>
    <row r="62" spans="2:33" x14ac:dyDescent="0.2">
      <c r="B62" s="2" t="s">
        <v>46</v>
      </c>
      <c r="J62" s="2">
        <f>1747+2804</f>
        <v>4551</v>
      </c>
      <c r="K62" s="2">
        <f>1750+2911</f>
        <v>4661</v>
      </c>
      <c r="L62" s="2">
        <f>2176+3021</f>
        <v>5197</v>
      </c>
      <c r="M62" s="2">
        <f>2864+3251</f>
        <v>6115</v>
      </c>
      <c r="N62" s="2">
        <f>2864+3251</f>
        <v>6115</v>
      </c>
      <c r="O62" s="2">
        <f>3024+3214</f>
        <v>6238</v>
      </c>
      <c r="P62" s="2">
        <f>2793+3357</f>
        <v>6150</v>
      </c>
      <c r="Q62" s="2">
        <f>3031+3350</f>
        <v>6381</v>
      </c>
      <c r="R62" s="2">
        <f>3168+3317</f>
        <v>6485</v>
      </c>
      <c r="S62" s="2">
        <f>3243+3610</f>
        <v>6853</v>
      </c>
      <c r="AE62" s="2">
        <f>1747+2804</f>
        <v>4551</v>
      </c>
      <c r="AF62" s="2">
        <f>2864+3251</f>
        <v>6115</v>
      </c>
      <c r="AG62" s="2">
        <f>3168+3317</f>
        <v>6485</v>
      </c>
    </row>
    <row r="63" spans="2:33" x14ac:dyDescent="0.2">
      <c r="B63" s="2" t="s">
        <v>5</v>
      </c>
      <c r="J63" s="2">
        <f>1502+1597</f>
        <v>3099</v>
      </c>
      <c r="K63" s="2">
        <f>1404+1272</f>
        <v>2676</v>
      </c>
      <c r="L63" s="2">
        <f>1459+872</f>
        <v>2331</v>
      </c>
      <c r="M63" s="2">
        <f>2373+2857</f>
        <v>5230</v>
      </c>
      <c r="N63" s="2">
        <f>2373+2857</f>
        <v>5230</v>
      </c>
      <c r="O63" s="2">
        <f>2461+2899</f>
        <v>5360</v>
      </c>
      <c r="P63" s="2">
        <f>2264+5481</f>
        <v>7745</v>
      </c>
      <c r="Q63" s="2">
        <f>2291+5405</f>
        <v>7696</v>
      </c>
      <c r="R63" s="2">
        <f>2456+5757</f>
        <v>8213</v>
      </c>
      <c r="S63" s="2">
        <f>2237+5292</f>
        <v>7529</v>
      </c>
      <c r="AE63" s="2">
        <f>1502+1597</f>
        <v>3099</v>
      </c>
      <c r="AF63" s="2">
        <f>2373+2857</f>
        <v>5230</v>
      </c>
      <c r="AG63" s="2">
        <f>2456+5757</f>
        <v>8213</v>
      </c>
    </row>
    <row r="64" spans="2:33" x14ac:dyDescent="0.2">
      <c r="B64" s="2" t="s">
        <v>22</v>
      </c>
      <c r="J64" s="2">
        <v>5330</v>
      </c>
      <c r="K64" s="2">
        <v>5979</v>
      </c>
      <c r="L64" s="2">
        <v>6924</v>
      </c>
      <c r="M64" s="2">
        <v>8153</v>
      </c>
      <c r="N64" s="2">
        <v>8153</v>
      </c>
      <c r="O64" s="2">
        <v>8480</v>
      </c>
      <c r="P64" s="2">
        <v>9002</v>
      </c>
      <c r="Q64" s="2">
        <v>9810</v>
      </c>
      <c r="R64" s="2">
        <v>10495</v>
      </c>
      <c r="S64" s="2">
        <v>11038</v>
      </c>
      <c r="AE64" s="2">
        <v>5330</v>
      </c>
      <c r="AF64" s="2">
        <v>8153</v>
      </c>
      <c r="AG64" s="2">
        <v>10495</v>
      </c>
    </row>
    <row r="65" spans="2:33" s="4" customFormat="1" x14ac:dyDescent="0.2">
      <c r="B65" s="4" t="s">
        <v>49</v>
      </c>
      <c r="J65" s="4">
        <f>+SUM(J60:J64)</f>
        <v>36440</v>
      </c>
      <c r="K65" s="4">
        <f t="shared" ref="K65:P65" si="102">+SUM(K60:K64)</f>
        <v>37598</v>
      </c>
      <c r="L65" s="4">
        <f t="shared" si="102"/>
        <v>38409</v>
      </c>
      <c r="M65" s="4">
        <f t="shared" si="102"/>
        <v>43009</v>
      </c>
      <c r="N65" s="4">
        <f t="shared" si="102"/>
        <v>43009</v>
      </c>
      <c r="O65" s="4">
        <f t="shared" si="102"/>
        <v>44046</v>
      </c>
      <c r="P65" s="4">
        <f t="shared" si="102"/>
        <v>45569</v>
      </c>
      <c r="Q65" s="4">
        <f t="shared" ref="Q65:R65" si="103">+SUM(Q60:Q64)</f>
        <v>49142</v>
      </c>
      <c r="R65" s="4">
        <f t="shared" si="103"/>
        <v>48390</v>
      </c>
      <c r="S65" s="4">
        <f t="shared" ref="S65" si="104">+SUM(S60:S64)</f>
        <v>49693</v>
      </c>
      <c r="AE65" s="4">
        <f t="shared" ref="AE65" si="105">+SUM(AE60:AE64)</f>
        <v>36440</v>
      </c>
      <c r="AF65" s="4">
        <f t="shared" ref="AF65" si="106">+SUM(AF60:AF64)</f>
        <v>43009</v>
      </c>
      <c r="AG65" s="4">
        <f t="shared" ref="AG65" si="107">+SUM(AG60:AG64)</f>
        <v>48390</v>
      </c>
    </row>
    <row r="66" spans="2:33" x14ac:dyDescent="0.2">
      <c r="B66" s="2" t="s">
        <v>47</v>
      </c>
      <c r="J66" s="2">
        <f>+J59-J65</f>
        <v>45898</v>
      </c>
      <c r="K66" s="2">
        <f t="shared" ref="K66:M66" si="108">+K59-K65</f>
        <v>49235</v>
      </c>
      <c r="L66" s="2">
        <f t="shared" si="108"/>
        <v>52182</v>
      </c>
      <c r="M66" s="2">
        <f t="shared" si="108"/>
        <v>50932</v>
      </c>
      <c r="N66" s="2">
        <f>+N59-N65</f>
        <v>63609</v>
      </c>
      <c r="O66" s="2">
        <f>64378+73+729</f>
        <v>65180</v>
      </c>
      <c r="P66" s="2">
        <f>66468+72+723</f>
        <v>67263</v>
      </c>
      <c r="Q66" s="2">
        <f>69931+709+70</f>
        <v>70710</v>
      </c>
      <c r="R66" s="2">
        <f>72913+63+704</f>
        <v>73680</v>
      </c>
      <c r="S66" s="2">
        <f>74653+62+703</f>
        <v>75418</v>
      </c>
      <c r="AE66" s="2">
        <f t="shared" ref="AE66" si="109">+AE59-AE65</f>
        <v>45898</v>
      </c>
      <c r="AF66" s="2">
        <f>+AF59-AF65</f>
        <v>63609</v>
      </c>
      <c r="AG66" s="2">
        <f>72913+63+704</f>
        <v>73680</v>
      </c>
    </row>
    <row r="67" spans="2:33" x14ac:dyDescent="0.2">
      <c r="B67" s="2" t="s">
        <v>48</v>
      </c>
      <c r="J67" s="2">
        <f>+J66+J65</f>
        <v>82338</v>
      </c>
      <c r="K67" s="2">
        <f t="shared" ref="K67:O67" si="110">+K66+K65</f>
        <v>86833</v>
      </c>
      <c r="L67" s="2">
        <f t="shared" si="110"/>
        <v>90591</v>
      </c>
      <c r="M67" s="2">
        <f t="shared" si="110"/>
        <v>93941</v>
      </c>
      <c r="N67" s="2">
        <f t="shared" si="110"/>
        <v>106618</v>
      </c>
      <c r="O67" s="2">
        <f t="shared" si="110"/>
        <v>109226</v>
      </c>
      <c r="P67" s="2">
        <f>+P66+P65</f>
        <v>112832</v>
      </c>
      <c r="Q67" s="2">
        <f>+Q66+Q65</f>
        <v>119852</v>
      </c>
      <c r="R67" s="2">
        <f>+R66+R65</f>
        <v>122070</v>
      </c>
      <c r="S67" s="2">
        <f>+S66+S65</f>
        <v>125111</v>
      </c>
      <c r="AE67" s="2">
        <f t="shared" ref="AE67" si="111">+AE66+AE65</f>
        <v>82338</v>
      </c>
      <c r="AF67" s="2">
        <f t="shared" ref="AF67" si="112">+AF66+AF65</f>
        <v>106618</v>
      </c>
      <c r="AG67" s="2">
        <f>+AG66+AG65</f>
        <v>122070</v>
      </c>
    </row>
    <row r="69" spans="2:33" x14ac:dyDescent="0.2">
      <c r="B69" s="2" t="s">
        <v>84</v>
      </c>
      <c r="M69" s="2">
        <f>+SUM(C35:M35)</f>
        <v>10497</v>
      </c>
      <c r="N69" s="2">
        <f>+SUM(K35:N35)</f>
        <v>14802</v>
      </c>
      <c r="O69" s="2">
        <f>+SUM(L35:O35)</f>
        <v>13251</v>
      </c>
      <c r="P69" s="2">
        <f>+SUM(M35:P35)</f>
        <v>13057</v>
      </c>
      <c r="Q69" s="2">
        <f>+SUM(N35:Q35)</f>
        <v>13724</v>
      </c>
      <c r="R69" s="2">
        <f>+SUM(O35:R35)</f>
        <v>7142</v>
      </c>
      <c r="S69" s="2">
        <f>+SUM(P35:S35)</f>
        <v>6739</v>
      </c>
    </row>
    <row r="70" spans="2:33" s="6" customFormat="1" x14ac:dyDescent="0.2">
      <c r="B70" s="6" t="s">
        <v>85</v>
      </c>
      <c r="M70" s="6">
        <f t="shared" ref="M70:Q70" si="113">+M69/(M49+M50+M51+M52+M53+M54+M55+M57+M58)</f>
        <v>0.15611475482978629</v>
      </c>
      <c r="N70" s="6">
        <f t="shared" si="113"/>
        <v>0.1924612204033338</v>
      </c>
      <c r="O70" s="6">
        <f t="shared" si="113"/>
        <v>0.1620758824824482</v>
      </c>
      <c r="P70" s="6">
        <f t="shared" si="113"/>
        <v>0.1601791081396062</v>
      </c>
      <c r="Q70" s="6">
        <f t="shared" si="113"/>
        <v>0.1603102477543249</v>
      </c>
      <c r="R70" s="6">
        <f>+R69/(R49+R50+R51+R52+R53+R54+R55+R57+R58)</f>
        <v>8.4986375049085516E-2</v>
      </c>
      <c r="S70" s="6">
        <f>+S69/(S49+S50+S51+S52+S53+S54+S55+S57+S58)</f>
        <v>7.7663301525837822E-2</v>
      </c>
    </row>
    <row r="72" spans="2:33" x14ac:dyDescent="0.2">
      <c r="B72" s="2" t="s">
        <v>50</v>
      </c>
      <c r="J72" s="2">
        <f>+J35</f>
        <v>3783</v>
      </c>
      <c r="K72" s="2">
        <f>+K35</f>
        <v>2587</v>
      </c>
      <c r="L72" s="2">
        <f>+L35</f>
        <v>2286</v>
      </c>
      <c r="M72" s="2">
        <f>+M35</f>
        <v>1841</v>
      </c>
      <c r="N72" s="2">
        <f>+N35</f>
        <v>8088</v>
      </c>
      <c r="O72" s="2">
        <f>+O35</f>
        <v>1036</v>
      </c>
      <c r="P72" s="2">
        <f>+P35</f>
        <v>2092</v>
      </c>
      <c r="Q72" s="2">
        <f>+Q35</f>
        <v>2508</v>
      </c>
      <c r="R72" s="2">
        <f>+R35</f>
        <v>1506</v>
      </c>
      <c r="S72" s="2">
        <f>+S35</f>
        <v>633</v>
      </c>
    </row>
    <row r="73" spans="2:33" x14ac:dyDescent="0.2">
      <c r="B73" s="2" t="s">
        <v>51</v>
      </c>
      <c r="K73" s="2">
        <v>2539</v>
      </c>
      <c r="L73" s="2">
        <v>2614</v>
      </c>
      <c r="M73" s="2">
        <v>1878</v>
      </c>
      <c r="N73" s="2">
        <v>7943</v>
      </c>
      <c r="O73" s="2">
        <v>1144</v>
      </c>
      <c r="P73" s="2">
        <f>2638-O73</f>
        <v>1494</v>
      </c>
      <c r="Q73" s="2">
        <f>4821-SUM(O73:P73)</f>
        <v>2183</v>
      </c>
      <c r="R73" s="2">
        <f>7153-SUM(O73:Q73)</f>
        <v>2332</v>
      </c>
      <c r="S73" s="2">
        <v>420</v>
      </c>
    </row>
    <row r="74" spans="2:33" x14ac:dyDescent="0.2">
      <c r="B74" s="2" t="s">
        <v>52</v>
      </c>
      <c r="K74" s="2">
        <v>1046</v>
      </c>
      <c r="L74" s="2">
        <v>1154</v>
      </c>
      <c r="M74" s="2">
        <v>1235</v>
      </c>
      <c r="N74" s="2">
        <v>1232</v>
      </c>
      <c r="O74" s="2">
        <v>1246</v>
      </c>
      <c r="P74" s="2">
        <f>2524-O74</f>
        <v>1278</v>
      </c>
      <c r="Q74" s="2">
        <f>3872-SUM(O74:P74)</f>
        <v>1348</v>
      </c>
      <c r="R74" s="2">
        <f>5368-SUM(O74:Q74)</f>
        <v>1496</v>
      </c>
      <c r="S74" s="2">
        <v>1447</v>
      </c>
    </row>
    <row r="75" spans="2:33" x14ac:dyDescent="0.2">
      <c r="B75" s="2" t="s">
        <v>53</v>
      </c>
      <c r="K75" s="2">
        <v>418</v>
      </c>
      <c r="L75" s="2">
        <v>445</v>
      </c>
      <c r="M75" s="2">
        <v>465</v>
      </c>
      <c r="N75" s="2">
        <v>484</v>
      </c>
      <c r="O75" s="2">
        <v>524</v>
      </c>
      <c r="P75" s="2">
        <f>963-O75</f>
        <v>439</v>
      </c>
      <c r="Q75" s="2">
        <f>1420-SUM(O75:P75)</f>
        <v>457</v>
      </c>
      <c r="R75" s="2">
        <f>1999-SUM(O75:Q75)</f>
        <v>579</v>
      </c>
      <c r="S75" s="2">
        <v>573</v>
      </c>
    </row>
    <row r="76" spans="2:33" x14ac:dyDescent="0.2">
      <c r="B76" s="2" t="s">
        <v>68</v>
      </c>
      <c r="K76" s="2">
        <v>50</v>
      </c>
      <c r="O76" s="2">
        <v>68</v>
      </c>
      <c r="P76" s="2">
        <f>146-O76</f>
        <v>78</v>
      </c>
      <c r="Q76" s="2">
        <f>247-SUM(O76:P76)</f>
        <v>101</v>
      </c>
      <c r="R76" s="2">
        <f>335-SUM(O76:Q76)</f>
        <v>88</v>
      </c>
      <c r="S76" s="2">
        <v>112</v>
      </c>
    </row>
    <row r="77" spans="2:33" x14ac:dyDescent="0.2">
      <c r="B77" s="2" t="s">
        <v>69</v>
      </c>
      <c r="K77" s="2">
        <v>-25</v>
      </c>
      <c r="O77" s="2">
        <v>-63</v>
      </c>
      <c r="P77" s="2">
        <f>-90-O77</f>
        <v>-27</v>
      </c>
      <c r="Q77" s="2">
        <f>197-SUM(O77:P77)</f>
        <v>287</v>
      </c>
      <c r="R77" s="2">
        <f>-73-SUM(O77:Q77)</f>
        <v>-270</v>
      </c>
      <c r="S77" s="2">
        <v>30</v>
      </c>
    </row>
    <row r="78" spans="2:33" x14ac:dyDescent="0.2">
      <c r="B78" s="2" t="s">
        <v>41</v>
      </c>
      <c r="K78" s="2">
        <v>-55</v>
      </c>
      <c r="L78" s="2">
        <v>-148</v>
      </c>
      <c r="M78" s="2">
        <v>-113</v>
      </c>
      <c r="N78" s="2">
        <v>-6033</v>
      </c>
      <c r="O78" s="2">
        <v>-11</v>
      </c>
      <c r="P78" s="2">
        <f>133-O78</f>
        <v>144</v>
      </c>
      <c r="Q78" s="2">
        <f>418-SUM(O78:P78)</f>
        <v>285</v>
      </c>
      <c r="R78" s="2">
        <f>477-SUM(O78:Q78)</f>
        <v>59</v>
      </c>
      <c r="S78" s="2">
        <v>-43</v>
      </c>
    </row>
    <row r="79" spans="2:33" x14ac:dyDescent="0.2">
      <c r="B79" s="2" t="s">
        <v>22</v>
      </c>
      <c r="K79" s="2">
        <v>15</v>
      </c>
      <c r="L79" s="2">
        <v>-47</v>
      </c>
      <c r="M79" s="2">
        <v>145</v>
      </c>
      <c r="N79" s="2">
        <v>262</v>
      </c>
      <c r="O79" s="2">
        <v>-5</v>
      </c>
      <c r="P79" s="2">
        <f>63-O79</f>
        <v>68</v>
      </c>
      <c r="Q79" s="2">
        <f>83-SUM(O79:P79)</f>
        <v>20</v>
      </c>
      <c r="R79" s="2">
        <f>172-SUM(O79:Q79)</f>
        <v>89</v>
      </c>
      <c r="S79" s="2">
        <v>46</v>
      </c>
    </row>
    <row r="80" spans="2:33" x14ac:dyDescent="0.2">
      <c r="B80" s="2" t="s">
        <v>39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-589</v>
      </c>
      <c r="S80" s="2">
        <v>125</v>
      </c>
    </row>
    <row r="81" spans="2:19" x14ac:dyDescent="0.2">
      <c r="B81" s="2" t="s">
        <v>32</v>
      </c>
      <c r="K81" s="2">
        <v>-32</v>
      </c>
      <c r="O81" s="2">
        <v>-422</v>
      </c>
      <c r="P81" s="2">
        <f>-285-O81</f>
        <v>137</v>
      </c>
      <c r="Q81" s="2">
        <f>144-SUM(O81:P81)</f>
        <v>429</v>
      </c>
      <c r="R81" s="2">
        <f>-1083-SUM(O81:Q81)</f>
        <v>-1227</v>
      </c>
      <c r="S81" s="2">
        <v>630</v>
      </c>
    </row>
    <row r="82" spans="2:19" x14ac:dyDescent="0.2">
      <c r="B82" s="2" t="s">
        <v>33</v>
      </c>
      <c r="K82" s="2">
        <v>-1540</v>
      </c>
      <c r="O82" s="2">
        <v>-2697</v>
      </c>
      <c r="P82" s="2">
        <f>-914-O82</f>
        <v>1783</v>
      </c>
      <c r="Q82" s="2">
        <f>-1107-SUM(O82:P82)</f>
        <v>-193</v>
      </c>
      <c r="R82" s="2">
        <f>937-SUM(O82:Q82)</f>
        <v>2044</v>
      </c>
      <c r="S82" s="2">
        <v>-1704</v>
      </c>
    </row>
    <row r="83" spans="2:19" x14ac:dyDescent="0.2">
      <c r="B83" s="2" t="s">
        <v>35</v>
      </c>
      <c r="K83" s="2">
        <v>-675</v>
      </c>
      <c r="O83" s="2">
        <v>-12</v>
      </c>
      <c r="P83" s="2">
        <f>-49-O83</f>
        <v>-37</v>
      </c>
      <c r="Q83" s="2">
        <f>-82-SUM(O83:P83)</f>
        <v>-33</v>
      </c>
      <c r="R83" s="2">
        <f>-590-SUM(O83:Q83)</f>
        <v>-508</v>
      </c>
      <c r="S83" s="2">
        <v>-76</v>
      </c>
    </row>
    <row r="84" spans="2:19" x14ac:dyDescent="0.2">
      <c r="B84" s="2" t="s">
        <v>34</v>
      </c>
      <c r="K84" s="2">
        <v>-737</v>
      </c>
      <c r="O84" s="2">
        <v>-972</v>
      </c>
      <c r="P84" s="2">
        <f>-1630-O84</f>
        <v>-658</v>
      </c>
      <c r="Q84" s="2">
        <f>-2639-SUM(O84:P84)</f>
        <v>-1009</v>
      </c>
      <c r="R84" s="2">
        <f>-3273-SUM(O84:Q84)</f>
        <v>-634</v>
      </c>
      <c r="S84" s="2">
        <v>-419</v>
      </c>
    </row>
    <row r="85" spans="2:19" x14ac:dyDescent="0.2">
      <c r="B85" s="2" t="s">
        <v>44</v>
      </c>
      <c r="K85" s="2">
        <v>1403</v>
      </c>
      <c r="O85" s="2">
        <v>1247</v>
      </c>
      <c r="P85" s="2">
        <f>249-O85</f>
        <v>-998</v>
      </c>
      <c r="Q85" s="2">
        <f>2504-SUM(O85:P85)</f>
        <v>2255</v>
      </c>
      <c r="R85" s="2">
        <f>3588-SUM(O85:Q85)</f>
        <v>1084</v>
      </c>
      <c r="S85" s="2">
        <v>706</v>
      </c>
    </row>
    <row r="86" spans="2:19" x14ac:dyDescent="0.2">
      <c r="B86" s="2" t="s">
        <v>46</v>
      </c>
      <c r="K86" s="2">
        <v>106</v>
      </c>
      <c r="O86" s="2">
        <v>195</v>
      </c>
      <c r="P86" s="2">
        <f>106-O86</f>
        <v>-89</v>
      </c>
      <c r="Q86" s="2">
        <f>231-SUM(O86:P86)</f>
        <v>125</v>
      </c>
      <c r="R86" s="2">
        <f>502-SUM(O86:Q86)</f>
        <v>271</v>
      </c>
      <c r="S86" s="2">
        <v>309</v>
      </c>
    </row>
    <row r="87" spans="2:19" x14ac:dyDescent="0.2">
      <c r="B87" s="2" t="s">
        <v>54</v>
      </c>
      <c r="K87" s="2">
        <f>+SUM(K81:K86)</f>
        <v>-1475</v>
      </c>
      <c r="L87" s="2">
        <v>-953</v>
      </c>
      <c r="M87" s="2">
        <v>-302</v>
      </c>
      <c r="N87" s="2">
        <v>482</v>
      </c>
      <c r="O87" s="2">
        <f>+SUM(O81:O86)</f>
        <v>-2661</v>
      </c>
      <c r="P87" s="2">
        <f>+SUM(P81:P86)</f>
        <v>138</v>
      </c>
      <c r="Q87" s="2">
        <f>+SUM(Q81:Q86)</f>
        <v>1574</v>
      </c>
      <c r="R87" s="2">
        <f>+SUM(R81:R86)</f>
        <v>1030</v>
      </c>
      <c r="S87" s="2">
        <f>+SUM(S81:S86)</f>
        <v>-554</v>
      </c>
    </row>
    <row r="88" spans="2:19" s="4" customFormat="1" x14ac:dyDescent="0.2">
      <c r="B88" s="4" t="s">
        <v>55</v>
      </c>
      <c r="K88" s="4">
        <f t="shared" ref="K88:Q88" si="114">+SUM(K73:K80)+K87</f>
        <v>2513</v>
      </c>
      <c r="L88" s="4">
        <f t="shared" si="114"/>
        <v>3065</v>
      </c>
      <c r="M88" s="4">
        <f t="shared" si="114"/>
        <v>3308</v>
      </c>
      <c r="N88" s="4">
        <f t="shared" si="114"/>
        <v>4370</v>
      </c>
      <c r="O88" s="4">
        <f t="shared" si="114"/>
        <v>242</v>
      </c>
      <c r="P88" s="4">
        <f t="shared" si="114"/>
        <v>3612</v>
      </c>
      <c r="Q88" s="4">
        <f t="shared" si="114"/>
        <v>6255</v>
      </c>
      <c r="R88" s="4">
        <f>+SUM(R73:R80)+R87</f>
        <v>4814</v>
      </c>
      <c r="S88" s="4">
        <f>+SUM(S73:S80)+S87</f>
        <v>2156</v>
      </c>
    </row>
    <row r="90" spans="2:19" s="4" customFormat="1" x14ac:dyDescent="0.2">
      <c r="B90" s="4" t="s">
        <v>56</v>
      </c>
      <c r="K90" s="4">
        <v>-2072</v>
      </c>
      <c r="L90" s="4">
        <v>-2060</v>
      </c>
      <c r="M90" s="4">
        <v>-2460</v>
      </c>
      <c r="N90" s="4">
        <v>-2306</v>
      </c>
      <c r="O90" s="4">
        <v>-2773</v>
      </c>
      <c r="P90" s="4">
        <f>-5043-O90</f>
        <v>-2270</v>
      </c>
      <c r="Q90" s="4">
        <f>-8556-SUM(O90:P90)</f>
        <v>-3513</v>
      </c>
      <c r="R90" s="4">
        <f>-11339-SUM(O90:Q90)</f>
        <v>-2783</v>
      </c>
      <c r="S90" s="4">
        <v>-1492</v>
      </c>
    </row>
    <row r="91" spans="2:19" x14ac:dyDescent="0.2">
      <c r="B91" s="2" t="s">
        <v>57</v>
      </c>
      <c r="K91" s="2">
        <f>-2015+1604</f>
        <v>-411</v>
      </c>
      <c r="L91" s="2">
        <f>-5075+3539</f>
        <v>-1536</v>
      </c>
      <c r="M91" s="2">
        <f>-6131+3816</f>
        <v>-2315</v>
      </c>
      <c r="N91" s="2">
        <f>-5891+3394</f>
        <v>-2497</v>
      </c>
      <c r="O91" s="2">
        <f>-6622+4315</f>
        <v>-2307</v>
      </c>
      <c r="P91" s="2">
        <f>-6-14765+11305+200-O91</f>
        <v>-959</v>
      </c>
      <c r="Q91" s="2">
        <f>-6-20797+17975+200-SUM(O91:P91)</f>
        <v>638</v>
      </c>
      <c r="R91" s="2">
        <f>-3-35955+28310+200-SUM(O91:Q91)</f>
        <v>-4820</v>
      </c>
      <c r="S91" s="2">
        <f>-6015+5856</f>
        <v>-159</v>
      </c>
    </row>
    <row r="92" spans="2:19" x14ac:dyDescent="0.2">
      <c r="B92" s="2" t="s">
        <v>58</v>
      </c>
      <c r="K92" s="2">
        <f>+SUM(K90:K91)</f>
        <v>-2483</v>
      </c>
      <c r="L92" s="2">
        <f t="shared" ref="L92:R92" si="115">+SUM(L90:L91)</f>
        <v>-3596</v>
      </c>
      <c r="M92" s="2">
        <f t="shared" si="115"/>
        <v>-4775</v>
      </c>
      <c r="N92" s="2">
        <f t="shared" si="115"/>
        <v>-4803</v>
      </c>
      <c r="O92" s="2">
        <f t="shared" si="115"/>
        <v>-5080</v>
      </c>
      <c r="P92" s="2">
        <f t="shared" si="115"/>
        <v>-3229</v>
      </c>
      <c r="Q92" s="2">
        <f t="shared" si="115"/>
        <v>-2875</v>
      </c>
      <c r="R92" s="2">
        <f t="shared" si="115"/>
        <v>-7603</v>
      </c>
      <c r="S92" s="2">
        <f t="shared" ref="S92" si="116">+SUM(S90:S91)</f>
        <v>-1651</v>
      </c>
    </row>
    <row r="94" spans="2:19" x14ac:dyDescent="0.2">
      <c r="B94" s="2" t="s">
        <v>60</v>
      </c>
      <c r="K94" s="2">
        <v>0</v>
      </c>
      <c r="O94" s="2">
        <v>776</v>
      </c>
      <c r="P94" s="2">
        <f>3895-O94</f>
        <v>3119</v>
      </c>
      <c r="Q94" s="2">
        <f>4360-SUM(O94:P94)</f>
        <v>465</v>
      </c>
      <c r="R94" s="2">
        <f>5744-SUM(O94:Q94)</f>
        <v>1384</v>
      </c>
      <c r="S94" s="2">
        <v>625</v>
      </c>
    </row>
    <row r="95" spans="2:19" x14ac:dyDescent="0.2">
      <c r="B95" s="2" t="s">
        <v>59</v>
      </c>
      <c r="K95" s="2">
        <v>-302</v>
      </c>
      <c r="L95" s="2">
        <v>-233</v>
      </c>
      <c r="M95" s="2">
        <v>2194</v>
      </c>
      <c r="N95" s="2">
        <v>952</v>
      </c>
      <c r="O95" s="2">
        <v>-591</v>
      </c>
      <c r="P95" s="2">
        <f>-1222-O95</f>
        <v>-631</v>
      </c>
      <c r="Q95" s="2">
        <f>-1783-SUM(O95:P95)</f>
        <v>-561</v>
      </c>
      <c r="R95" s="2">
        <f>-2500-SUM(O95:Q95)</f>
        <v>-717</v>
      </c>
      <c r="S95" s="2">
        <v>-1301</v>
      </c>
    </row>
    <row r="96" spans="2:19" x14ac:dyDescent="0.2">
      <c r="B96" s="2" t="s">
        <v>62</v>
      </c>
      <c r="K96" s="2">
        <v>231</v>
      </c>
      <c r="L96" s="2">
        <v>63</v>
      </c>
      <c r="M96" s="2">
        <v>254</v>
      </c>
      <c r="N96" s="2">
        <v>152</v>
      </c>
      <c r="O96" s="2">
        <v>251</v>
      </c>
      <c r="P96" s="2">
        <f>448-O96</f>
        <v>197</v>
      </c>
      <c r="Q96" s="2">
        <f>788-SUM(O96:P96)</f>
        <v>340</v>
      </c>
      <c r="R96" s="2">
        <f>1241-SUM(O96:Q96)</f>
        <v>453</v>
      </c>
      <c r="S96" s="2">
        <v>313</v>
      </c>
    </row>
    <row r="97" spans="2:19" x14ac:dyDescent="0.2">
      <c r="B97" s="2" t="s">
        <v>61</v>
      </c>
      <c r="K97" s="2">
        <v>-106</v>
      </c>
      <c r="O97" s="2">
        <v>-106</v>
      </c>
      <c r="P97" s="2">
        <f>-206-O97</f>
        <v>-100</v>
      </c>
      <c r="Q97" s="2">
        <f>-291-SUM(O97:P97)</f>
        <v>-85</v>
      </c>
      <c r="R97" s="2">
        <f>-381-SUM(O97:Q97)</f>
        <v>-90</v>
      </c>
      <c r="S97" s="2">
        <v>-48</v>
      </c>
    </row>
    <row r="98" spans="2:19" x14ac:dyDescent="0.2">
      <c r="B98" s="2" t="s">
        <v>87</v>
      </c>
      <c r="S98" s="2">
        <f>277-176</f>
        <v>101</v>
      </c>
    </row>
    <row r="99" spans="2:19" x14ac:dyDescent="0.2">
      <c r="B99" s="2" t="s">
        <v>72</v>
      </c>
      <c r="O99" s="2">
        <v>-3</v>
      </c>
      <c r="P99" s="2">
        <f>-5-O99</f>
        <v>-2</v>
      </c>
      <c r="Q99" s="2">
        <f>-6-SUM(O99:P99)</f>
        <v>-1</v>
      </c>
      <c r="R99" s="2">
        <f>-14-SUM(O99:Q99)</f>
        <v>-8</v>
      </c>
      <c r="S99" s="2">
        <v>0</v>
      </c>
    </row>
    <row r="100" spans="2:19" x14ac:dyDescent="0.2">
      <c r="B100" s="2" t="s">
        <v>73</v>
      </c>
      <c r="O100" s="2">
        <v>-30</v>
      </c>
      <c r="P100" s="2">
        <f>-50-O100</f>
        <v>-20</v>
      </c>
      <c r="Q100" s="2">
        <f>-76-SUM(O100:P100)</f>
        <v>-26</v>
      </c>
      <c r="R100" s="2">
        <f>-104-SUM(O100:Q100)</f>
        <v>-28</v>
      </c>
      <c r="S100" s="2">
        <v>-22</v>
      </c>
    </row>
    <row r="101" spans="2:19" x14ac:dyDescent="0.2">
      <c r="B101" s="2" t="s">
        <v>74</v>
      </c>
      <c r="O101" s="2">
        <v>-101</v>
      </c>
      <c r="P101" s="2">
        <f>-124-O101</f>
        <v>-23</v>
      </c>
      <c r="Q101" s="2">
        <f>-124-SUM(O101:P101)</f>
        <v>0</v>
      </c>
      <c r="R101" s="2">
        <f>-133-SUM(O101:Q101)</f>
        <v>-9</v>
      </c>
      <c r="S101" s="2">
        <v>0</v>
      </c>
    </row>
    <row r="102" spans="2:19" x14ac:dyDescent="0.2">
      <c r="B102" s="2" t="s">
        <v>63</v>
      </c>
      <c r="K102" s="2">
        <v>-233</v>
      </c>
      <c r="L102" s="2">
        <v>-328</v>
      </c>
      <c r="M102" s="2">
        <v>2263</v>
      </c>
      <c r="N102" s="2">
        <v>887</v>
      </c>
      <c r="O102" s="2">
        <f>+SUM(O94:O101)</f>
        <v>196</v>
      </c>
      <c r="P102" s="2">
        <f>+SUM(P94:P101)</f>
        <v>2540</v>
      </c>
      <c r="Q102" s="2">
        <f>+SUM(Q94:Q101)</f>
        <v>132</v>
      </c>
      <c r="R102" s="2">
        <f>+SUM(R94:R101)</f>
        <v>985</v>
      </c>
      <c r="S102" s="2">
        <f>+SUM(S94:S101)</f>
        <v>-332</v>
      </c>
    </row>
    <row r="103" spans="2:19" x14ac:dyDescent="0.2">
      <c r="B103" s="2" t="s">
        <v>64</v>
      </c>
      <c r="K103" s="2">
        <v>50</v>
      </c>
      <c r="L103" s="2">
        <v>-94</v>
      </c>
      <c r="M103" s="2">
        <v>-98</v>
      </c>
      <c r="N103" s="2">
        <v>146</v>
      </c>
      <c r="O103" s="2">
        <v>-79</v>
      </c>
      <c r="P103" s="2">
        <v>-116</v>
      </c>
      <c r="Q103" s="2">
        <f>-8-SUM(O103:P103)</f>
        <v>187</v>
      </c>
      <c r="R103" s="2">
        <f>-141-SUM(O103:Q103)</f>
        <v>-133</v>
      </c>
      <c r="S103" s="2">
        <v>40</v>
      </c>
    </row>
    <row r="104" spans="2:19" x14ac:dyDescent="0.2">
      <c r="B104" s="2" t="s">
        <v>65</v>
      </c>
      <c r="K104" s="2">
        <f>+K88+K92+K102+K103</f>
        <v>-153</v>
      </c>
      <c r="L104" s="2">
        <f>+L88+L92+L102+L103</f>
        <v>-953</v>
      </c>
      <c r="M104" s="2">
        <f>+M88+M92+M102+M103</f>
        <v>698</v>
      </c>
      <c r="N104" s="2">
        <f>+N88+N92+N102+N103</f>
        <v>600</v>
      </c>
      <c r="O104" s="2">
        <f>+O88+O92+O102+O103</f>
        <v>-4721</v>
      </c>
      <c r="P104" s="2">
        <f>+P88+P92+P102+P103</f>
        <v>2807</v>
      </c>
      <c r="Q104" s="2">
        <f>+Q88+Q92+Q102+Q103</f>
        <v>3699</v>
      </c>
      <c r="R104" s="2">
        <f>+R88+R92+R102+R103</f>
        <v>-1937</v>
      </c>
      <c r="S104" s="2">
        <f>+S88+S92+S102+S103</f>
        <v>213</v>
      </c>
    </row>
    <row r="106" spans="2:19" x14ac:dyDescent="0.2">
      <c r="B106" s="2" t="s">
        <v>66</v>
      </c>
      <c r="K106" s="2">
        <f t="shared" ref="K106:R106" si="117">+K88+K90</f>
        <v>441</v>
      </c>
      <c r="L106" s="2">
        <f t="shared" si="117"/>
        <v>1005</v>
      </c>
      <c r="M106" s="2">
        <f t="shared" si="117"/>
        <v>848</v>
      </c>
      <c r="N106" s="2">
        <f t="shared" si="117"/>
        <v>2064</v>
      </c>
      <c r="O106" s="2">
        <f t="shared" si="117"/>
        <v>-2531</v>
      </c>
      <c r="P106" s="2">
        <f t="shared" si="117"/>
        <v>1342</v>
      </c>
      <c r="Q106" s="2">
        <f t="shared" si="117"/>
        <v>2742</v>
      </c>
      <c r="R106" s="2">
        <f t="shared" si="117"/>
        <v>2031</v>
      </c>
      <c r="S106" s="2">
        <f>+S88+S90</f>
        <v>664</v>
      </c>
    </row>
    <row r="107" spans="2:19" x14ac:dyDescent="0.2">
      <c r="B107" s="3" t="s">
        <v>67</v>
      </c>
      <c r="N107" s="2">
        <f>+SUM(K106:N106)</f>
        <v>4358</v>
      </c>
      <c r="O107" s="2">
        <f>+SUM(L106:O106)</f>
        <v>1386</v>
      </c>
      <c r="P107" s="2">
        <f>+SUM(M106:P106)</f>
        <v>1723</v>
      </c>
      <c r="Q107" s="2">
        <f>+SUM(N106:Q106)</f>
        <v>3617</v>
      </c>
      <c r="R107" s="2">
        <f>+SUM(O106:R106)</f>
        <v>3584</v>
      </c>
      <c r="S107" s="2">
        <f>+SUM(P106:S106)</f>
        <v>6779</v>
      </c>
    </row>
    <row r="110" spans="2:19" x14ac:dyDescent="0.2">
      <c r="B110" s="2" t="s">
        <v>0</v>
      </c>
    </row>
    <row r="111" spans="2:19" x14ac:dyDescent="0.2">
      <c r="B111" s="2" t="s">
        <v>3</v>
      </c>
    </row>
    <row r="112" spans="2:19" x14ac:dyDescent="0.2">
      <c r="B112" s="2" t="s">
        <v>76</v>
      </c>
    </row>
    <row r="113" spans="2:2" x14ac:dyDescent="0.2">
      <c r="B113" s="2" t="s">
        <v>25</v>
      </c>
    </row>
    <row r="114" spans="2:2" x14ac:dyDescent="0.2">
      <c r="B114" s="2" t="s">
        <v>78</v>
      </c>
    </row>
    <row r="115" spans="2:2" x14ac:dyDescent="0.2">
      <c r="B115" s="2" t="s">
        <v>79</v>
      </c>
    </row>
    <row r="117" spans="2:2" x14ac:dyDescent="0.2">
      <c r="B117" s="2" t="s">
        <v>77</v>
      </c>
    </row>
    <row r="118" spans="2:2" x14ac:dyDescent="0.2">
      <c r="B118" s="2" t="s">
        <v>3</v>
      </c>
    </row>
    <row r="119" spans="2:2" x14ac:dyDescent="0.2">
      <c r="B119" s="2" t="s">
        <v>76</v>
      </c>
    </row>
    <row r="120" spans="2:2" x14ac:dyDescent="0.2">
      <c r="B120" s="2" t="s">
        <v>25</v>
      </c>
    </row>
    <row r="121" spans="2:2" x14ac:dyDescent="0.2">
      <c r="B121" s="2" t="s">
        <v>78</v>
      </c>
    </row>
    <row r="122" spans="2:2" x14ac:dyDescent="0.2">
      <c r="B122" s="2" t="s">
        <v>79</v>
      </c>
    </row>
  </sheetData>
  <hyperlinks>
    <hyperlink ref="A1" location="Main!A1" display="Main" xr:uid="{5519F8A9-63FF-4B5B-BF40-FC098048F86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117D-3669-49EA-A4C7-5236861C0A13}">
  <dimension ref="A1:AR6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2.75" x14ac:dyDescent="0.2"/>
  <cols>
    <col min="1" max="1" width="5" bestFit="1" customWidth="1"/>
    <col min="2" max="2" width="16.28515625" bestFit="1" customWidth="1"/>
  </cols>
  <sheetData>
    <row r="1" spans="1:44" x14ac:dyDescent="0.2">
      <c r="A1" s="13" t="s">
        <v>88</v>
      </c>
    </row>
    <row r="2" spans="1:44" s="5" customFormat="1" x14ac:dyDescent="0.2">
      <c r="C2" s="5" t="s">
        <v>30</v>
      </c>
      <c r="D2" s="5" t="s">
        <v>8</v>
      </c>
      <c r="E2" s="5" t="s">
        <v>29</v>
      </c>
      <c r="F2" s="5" t="s">
        <v>28</v>
      </c>
      <c r="G2" s="5" t="s">
        <v>27</v>
      </c>
      <c r="H2" s="5" t="s">
        <v>9</v>
      </c>
      <c r="I2" s="5" t="s">
        <v>70</v>
      </c>
      <c r="J2" s="5" t="s">
        <v>71</v>
      </c>
      <c r="K2" s="5" t="s">
        <v>75</v>
      </c>
      <c r="L2" s="5" t="s">
        <v>86</v>
      </c>
      <c r="P2" s="9">
        <v>2014</v>
      </c>
      <c r="Q2" s="9">
        <f>+P2+1</f>
        <v>2015</v>
      </c>
      <c r="R2" s="9">
        <f t="shared" ref="R2:AP2" si="0">+Q2+1</f>
        <v>2016</v>
      </c>
      <c r="S2" s="9">
        <f t="shared" si="0"/>
        <v>2017</v>
      </c>
      <c r="T2" s="9">
        <f t="shared" si="0"/>
        <v>2018</v>
      </c>
      <c r="U2" s="9">
        <f t="shared" si="0"/>
        <v>2019</v>
      </c>
      <c r="V2" s="9">
        <f t="shared" si="0"/>
        <v>2020</v>
      </c>
      <c r="W2" s="9">
        <f t="shared" si="0"/>
        <v>2021</v>
      </c>
      <c r="X2" s="9">
        <f t="shared" si="0"/>
        <v>2022</v>
      </c>
      <c r="Y2" s="9">
        <f t="shared" si="0"/>
        <v>2023</v>
      </c>
      <c r="Z2" s="9">
        <f t="shared" si="0"/>
        <v>2024</v>
      </c>
      <c r="AA2" s="9">
        <f t="shared" si="0"/>
        <v>2025</v>
      </c>
      <c r="AB2" s="9">
        <f t="shared" si="0"/>
        <v>2026</v>
      </c>
      <c r="AC2" s="9">
        <f t="shared" si="0"/>
        <v>2027</v>
      </c>
      <c r="AD2" s="9">
        <f t="shared" si="0"/>
        <v>2028</v>
      </c>
      <c r="AE2" s="9">
        <f t="shared" si="0"/>
        <v>2029</v>
      </c>
      <c r="AF2" s="9">
        <f t="shared" si="0"/>
        <v>2030</v>
      </c>
      <c r="AG2" s="9">
        <f t="shared" si="0"/>
        <v>2031</v>
      </c>
      <c r="AH2" s="9">
        <f t="shared" si="0"/>
        <v>2032</v>
      </c>
      <c r="AI2" s="9">
        <f t="shared" si="0"/>
        <v>2033</v>
      </c>
      <c r="AJ2" s="9">
        <f t="shared" si="0"/>
        <v>2034</v>
      </c>
      <c r="AK2" s="9">
        <f t="shared" si="0"/>
        <v>2035</v>
      </c>
      <c r="AL2" s="9">
        <f t="shared" si="0"/>
        <v>2036</v>
      </c>
      <c r="AM2" s="9">
        <f t="shared" si="0"/>
        <v>2037</v>
      </c>
      <c r="AN2" s="9">
        <f t="shared" si="0"/>
        <v>2038</v>
      </c>
      <c r="AO2" s="9">
        <f t="shared" si="0"/>
        <v>2039</v>
      </c>
      <c r="AP2" s="9">
        <f t="shared" si="0"/>
        <v>2040</v>
      </c>
      <c r="AQ2" s="9"/>
      <c r="AR2" s="9"/>
    </row>
    <row r="3" spans="1:44" s="2" customFormat="1" x14ac:dyDescent="0.2">
      <c r="B3" s="2" t="s">
        <v>89</v>
      </c>
      <c r="H3" s="2">
        <v>9762</v>
      </c>
      <c r="L3" s="2">
        <v>10333</v>
      </c>
    </row>
    <row r="4" spans="1:44" s="2" customFormat="1" x14ac:dyDescent="0.2">
      <c r="B4" s="2" t="s">
        <v>90</v>
      </c>
      <c r="H4" s="2">
        <v>4592</v>
      </c>
      <c r="L4" s="2">
        <v>4303</v>
      </c>
    </row>
    <row r="5" spans="1:44" s="2" customFormat="1" x14ac:dyDescent="0.2">
      <c r="B5" s="2" t="s">
        <v>91</v>
      </c>
      <c r="H5" s="2">
        <v>6947</v>
      </c>
      <c r="L5" s="2">
        <v>4699</v>
      </c>
    </row>
    <row r="6" spans="1:44" s="2" customFormat="1" x14ac:dyDescent="0.2">
      <c r="B6" s="3" t="s">
        <v>92</v>
      </c>
      <c r="H6" s="2">
        <f>+SUM(H3:H5)</f>
        <v>21301</v>
      </c>
      <c r="L6" s="2">
        <f>+SUM(L3:L5)</f>
        <v>19335</v>
      </c>
    </row>
  </sheetData>
  <hyperlinks>
    <hyperlink ref="A1" location="Main!A1" display="Main" xr:uid="{ECED02E7-A08B-4998-AE8F-2BB597F01A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Geographic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2024-04-29T06:34:02Z</dcterms:created>
  <dcterms:modified xsi:type="dcterms:W3CDTF">2025-04-23T22:02:12Z</dcterms:modified>
</cp:coreProperties>
</file>