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Hardware\Semiconductors\"/>
    </mc:Choice>
  </mc:AlternateContent>
  <xr:revisionPtr revIDLastSave="0" documentId="13_ncr:1_{81229825-BAA7-45C6-AB69-E9F0C0383FF0}" xr6:coauthVersionLast="47" xr6:coauthVersionMax="47" xr10:uidLastSave="{00000000-0000-0000-0000-000000000000}"/>
  <bookViews>
    <workbookView xWindow="-120" yWindow="-120" windowWidth="29040" windowHeight="15840" activeTab="1" xr2:uid="{DCA7A133-19DC-4629-8672-B0A3541246F6}"/>
  </bookViews>
  <sheets>
    <sheet name="Main" sheetId="1" r:id="rId1"/>
    <sheet name="Model" sheetId="2" r:id="rId2"/>
    <sheet name="Technologie" sheetId="3" r:id="rId3"/>
    <sheet name="Geography" sheetId="4" r:id="rId4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" l="1"/>
  <c r="L7" i="1"/>
  <c r="O8" i="3"/>
  <c r="N8" i="3"/>
  <c r="M8" i="3"/>
  <c r="L8" i="3"/>
  <c r="K8" i="3"/>
  <c r="J8" i="3"/>
  <c r="P8" i="3"/>
  <c r="U7" i="4"/>
  <c r="U6" i="4"/>
  <c r="U5" i="4"/>
  <c r="U4" i="4"/>
  <c r="U3" i="4"/>
  <c r="V7" i="4"/>
  <c r="V6" i="4"/>
  <c r="V5" i="4"/>
  <c r="V4" i="4"/>
  <c r="V3" i="4"/>
  <c r="W4" i="4"/>
  <c r="W3" i="4"/>
  <c r="W7" i="4"/>
  <c r="W5" i="4"/>
  <c r="W6" i="4"/>
  <c r="AL8" i="4"/>
  <c r="AM8" i="4" s="1"/>
  <c r="AN8" i="4" s="1"/>
  <c r="AO8" i="4" s="1"/>
  <c r="AP8" i="4" s="1"/>
  <c r="AQ8" i="4" s="1"/>
  <c r="AR8" i="4" s="1"/>
  <c r="AS8" i="4" s="1"/>
  <c r="AT8" i="4" s="1"/>
  <c r="AU8" i="4" s="1"/>
  <c r="AV8" i="4" s="1"/>
  <c r="AW8" i="4" s="1"/>
  <c r="AX8" i="4" s="1"/>
  <c r="AY8" i="4" s="1"/>
  <c r="AZ8" i="4" s="1"/>
  <c r="BA8" i="4" s="1"/>
  <c r="AK8" i="4"/>
  <c r="AJ8" i="4"/>
  <c r="AI8" i="4"/>
  <c r="AH8" i="4"/>
  <c r="P3" i="3"/>
  <c r="W30" i="2"/>
  <c r="W8" i="2"/>
  <c r="W7" i="2"/>
  <c r="W6" i="2"/>
  <c r="W5" i="2"/>
  <c r="W4" i="2"/>
  <c r="W3" i="2"/>
  <c r="V3" i="2"/>
  <c r="W49" i="2"/>
  <c r="W79" i="2"/>
  <c r="W61" i="2"/>
  <c r="S61" i="2"/>
  <c r="W62" i="2"/>
  <c r="W64" i="2" s="1"/>
  <c r="W57" i="2"/>
  <c r="W40" i="2"/>
  <c r="W42" i="2"/>
  <c r="W33" i="2"/>
  <c r="W39" i="2" s="1"/>
  <c r="W22" i="2"/>
  <c r="W12" i="2"/>
  <c r="V12" i="2"/>
  <c r="W29" i="2"/>
  <c r="W16" i="2"/>
  <c r="W18" i="2" s="1"/>
  <c r="W15" i="2"/>
  <c r="L5" i="1"/>
  <c r="V8" i="2"/>
  <c r="V7" i="2"/>
  <c r="V6" i="2"/>
  <c r="V5" i="2"/>
  <c r="V4" i="2"/>
  <c r="O3" i="3"/>
  <c r="N3" i="3"/>
  <c r="M3" i="3"/>
  <c r="L3" i="3"/>
  <c r="K3" i="3"/>
  <c r="J3" i="3"/>
  <c r="I3" i="3"/>
  <c r="H3" i="3"/>
  <c r="G3" i="3"/>
  <c r="F3" i="3"/>
  <c r="E3" i="3"/>
  <c r="D3" i="3"/>
  <c r="AM11" i="2"/>
  <c r="AA11" i="2"/>
  <c r="AK79" i="2"/>
  <c r="AJ79" i="2"/>
  <c r="AI79" i="2"/>
  <c r="AH79" i="2"/>
  <c r="AG79" i="2"/>
  <c r="AF79" i="2"/>
  <c r="AE79" i="2"/>
  <c r="AD79" i="2"/>
  <c r="AC79" i="2"/>
  <c r="AB79" i="2"/>
  <c r="AB22" i="2"/>
  <c r="AB15" i="2"/>
  <c r="AB12" i="2"/>
  <c r="AB24" i="2" s="1"/>
  <c r="AC29" i="2"/>
  <c r="AC22" i="2"/>
  <c r="AC15" i="2"/>
  <c r="AC12" i="2"/>
  <c r="AC24" i="2" s="1"/>
  <c r="AD29" i="2"/>
  <c r="AD22" i="2"/>
  <c r="AD15" i="2"/>
  <c r="AD12" i="2"/>
  <c r="AE29" i="2"/>
  <c r="AE22" i="2"/>
  <c r="AE15" i="2"/>
  <c r="AE12" i="2"/>
  <c r="AF29" i="2"/>
  <c r="AF22" i="2"/>
  <c r="AF15" i="2"/>
  <c r="AF12" i="2"/>
  <c r="AF24" i="2" s="1"/>
  <c r="AG22" i="2"/>
  <c r="AG29" i="2"/>
  <c r="AG15" i="2"/>
  <c r="AG12" i="2"/>
  <c r="AG24" i="2" s="1"/>
  <c r="AL75" i="2"/>
  <c r="AL62" i="2"/>
  <c r="AL64" i="2" s="1"/>
  <c r="AL57" i="2"/>
  <c r="AL79" i="2" s="1"/>
  <c r="AL42" i="2"/>
  <c r="AL40" i="2"/>
  <c r="AL33" i="2"/>
  <c r="AL39" i="2" s="1"/>
  <c r="AL17" i="2"/>
  <c r="AL14" i="2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Y14" i="2" s="1"/>
  <c r="AZ14" i="2" s="1"/>
  <c r="BA14" i="2" s="1"/>
  <c r="AL13" i="2"/>
  <c r="AA13" i="2" s="1"/>
  <c r="AL10" i="2"/>
  <c r="AA10" i="2" s="1"/>
  <c r="V40" i="2"/>
  <c r="V42" i="2"/>
  <c r="V33" i="2"/>
  <c r="V39" i="2" s="1"/>
  <c r="V16" i="2"/>
  <c r="V18" i="2" s="1"/>
  <c r="V15" i="2"/>
  <c r="U3" i="2"/>
  <c r="U8" i="2"/>
  <c r="U7" i="2"/>
  <c r="U6" i="2"/>
  <c r="U5" i="2"/>
  <c r="U4" i="2"/>
  <c r="T61" i="2" l="1"/>
  <c r="V61" i="2" s="1"/>
  <c r="U61" i="2"/>
  <c r="W44" i="2"/>
  <c r="W46" i="2" s="1"/>
  <c r="W32" i="2"/>
  <c r="W20" i="2"/>
  <c r="W51" i="2" s="1"/>
  <c r="W27" i="2"/>
  <c r="AA14" i="2"/>
  <c r="AN11" i="2"/>
  <c r="AO11" i="2" s="1"/>
  <c r="AP11" i="2" s="1"/>
  <c r="AQ11" i="2" s="1"/>
  <c r="AR11" i="2" s="1"/>
  <c r="AS11" i="2" s="1"/>
  <c r="AT11" i="2" s="1"/>
  <c r="AU11" i="2" s="1"/>
  <c r="AV11" i="2" s="1"/>
  <c r="AW11" i="2" s="1"/>
  <c r="AX11" i="2" s="1"/>
  <c r="AY11" i="2" s="1"/>
  <c r="AZ11" i="2" s="1"/>
  <c r="BA11" i="2" s="1"/>
  <c r="AM10" i="2"/>
  <c r="AM12" i="2" s="1"/>
  <c r="AM24" i="2" s="1"/>
  <c r="AM13" i="2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AM15" i="2"/>
  <c r="AL44" i="2"/>
  <c r="AL46" i="2" s="1"/>
  <c r="AL77" i="2"/>
  <c r="AB16" i="2"/>
  <c r="AC16" i="2"/>
  <c r="AD16" i="2"/>
  <c r="AD18" i="2" s="1"/>
  <c r="AD24" i="2"/>
  <c r="AE16" i="2"/>
  <c r="AE18" i="2" s="1"/>
  <c r="AE24" i="2"/>
  <c r="AF16" i="2"/>
  <c r="AG16" i="2"/>
  <c r="AG18" i="2" s="1"/>
  <c r="AL32" i="2"/>
  <c r="AM17" i="2" s="1"/>
  <c r="AL15" i="2"/>
  <c r="V32" i="2"/>
  <c r="V44" i="2"/>
  <c r="V46" i="2" s="1"/>
  <c r="V20" i="2"/>
  <c r="V51" i="2" s="1"/>
  <c r="V27" i="2"/>
  <c r="U73" i="2"/>
  <c r="U68" i="2"/>
  <c r="U40" i="2"/>
  <c r="U42" i="2"/>
  <c r="U33" i="2"/>
  <c r="U29" i="2"/>
  <c r="U15" i="2"/>
  <c r="U12" i="2"/>
  <c r="U24" i="2" s="1"/>
  <c r="AH10" i="2"/>
  <c r="AH29" i="2" s="1"/>
  <c r="AI10" i="2"/>
  <c r="AJ10" i="2"/>
  <c r="AK10" i="2"/>
  <c r="AH11" i="2"/>
  <c r="AI11" i="2"/>
  <c r="AJ11" i="2"/>
  <c r="AK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AH13" i="2"/>
  <c r="AI13" i="2"/>
  <c r="AJ13" i="2"/>
  <c r="AK13" i="2"/>
  <c r="AH14" i="2"/>
  <c r="AI14" i="2"/>
  <c r="AJ14" i="2"/>
  <c r="AK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V68" i="2" l="1"/>
  <c r="V73" i="2"/>
  <c r="AM16" i="2"/>
  <c r="AM25" i="2" s="1"/>
  <c r="AM29" i="2"/>
  <c r="AN10" i="2"/>
  <c r="W21" i="2"/>
  <c r="W26" i="2"/>
  <c r="AN15" i="2"/>
  <c r="AO15" i="2"/>
  <c r="AD25" i="2"/>
  <c r="AB25" i="2"/>
  <c r="AB18" i="2"/>
  <c r="AC25" i="2"/>
  <c r="AC18" i="2"/>
  <c r="AD27" i="2"/>
  <c r="AD20" i="2"/>
  <c r="AE25" i="2"/>
  <c r="AE27" i="2"/>
  <c r="AE20" i="2"/>
  <c r="AF25" i="2"/>
  <c r="AF18" i="2"/>
  <c r="AG25" i="2"/>
  <c r="AG20" i="2"/>
  <c r="AG27" i="2"/>
  <c r="U39" i="2"/>
  <c r="U32" i="2"/>
  <c r="U44" i="2"/>
  <c r="U46" i="2" s="1"/>
  <c r="U16" i="2"/>
  <c r="U25" i="2" s="1"/>
  <c r="V26" i="2"/>
  <c r="V21" i="2"/>
  <c r="AL12" i="2"/>
  <c r="AL24" i="2" s="1"/>
  <c r="AI15" i="2"/>
  <c r="AJ12" i="2"/>
  <c r="AK12" i="2"/>
  <c r="AH15" i="2"/>
  <c r="AI12" i="2"/>
  <c r="AH12" i="2"/>
  <c r="AJ15" i="2"/>
  <c r="AK15" i="2"/>
  <c r="T76" i="2"/>
  <c r="T74" i="2"/>
  <c r="T72" i="2"/>
  <c r="T71" i="2"/>
  <c r="T70" i="2"/>
  <c r="T69" i="2"/>
  <c r="T67" i="2"/>
  <c r="T66" i="2"/>
  <c r="T63" i="2"/>
  <c r="T62" i="2"/>
  <c r="T60" i="2"/>
  <c r="T59" i="2"/>
  <c r="T56" i="2"/>
  <c r="T55" i="2"/>
  <c r="T54" i="2"/>
  <c r="T53" i="2"/>
  <c r="T52" i="2"/>
  <c r="T42" i="2"/>
  <c r="T40" i="2"/>
  <c r="T33" i="2"/>
  <c r="T39" i="2" s="1"/>
  <c r="T29" i="2"/>
  <c r="T24" i="2"/>
  <c r="T8" i="2"/>
  <c r="T7" i="2"/>
  <c r="T6" i="2"/>
  <c r="T5" i="2"/>
  <c r="T4" i="2"/>
  <c r="T3" i="2"/>
  <c r="S75" i="2"/>
  <c r="S64" i="2"/>
  <c r="S57" i="2"/>
  <c r="S79" i="2" s="1"/>
  <c r="S42" i="2"/>
  <c r="S40" i="2"/>
  <c r="S33" i="2"/>
  <c r="AH19" i="2"/>
  <c r="AH17" i="2"/>
  <c r="AI19" i="2"/>
  <c r="AI17" i="2"/>
  <c r="AJ19" i="2"/>
  <c r="AJ17" i="2"/>
  <c r="AK19" i="2"/>
  <c r="AK17" i="2"/>
  <c r="AC2" i="2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V29" i="2"/>
  <c r="O5" i="2"/>
  <c r="O4" i="2"/>
  <c r="O3" i="2"/>
  <c r="K8" i="2"/>
  <c r="K7" i="2"/>
  <c r="K6" i="2"/>
  <c r="K5" i="2"/>
  <c r="K4" i="2"/>
  <c r="K3" i="2"/>
  <c r="L8" i="2"/>
  <c r="L7" i="2"/>
  <c r="L6" i="2"/>
  <c r="L5" i="2"/>
  <c r="L4" i="2"/>
  <c r="L3" i="2"/>
  <c r="J8" i="2"/>
  <c r="J7" i="2"/>
  <c r="J6" i="2"/>
  <c r="J5" i="2"/>
  <c r="J4" i="2"/>
  <c r="J3" i="2"/>
  <c r="N8" i="2"/>
  <c r="N7" i="2"/>
  <c r="N6" i="2"/>
  <c r="N5" i="2"/>
  <c r="N4" i="2"/>
  <c r="N3" i="2"/>
  <c r="M8" i="2"/>
  <c r="M7" i="2"/>
  <c r="M6" i="2"/>
  <c r="M5" i="2"/>
  <c r="M4" i="2"/>
  <c r="M3" i="2"/>
  <c r="M30" i="2" s="1"/>
  <c r="P8" i="2"/>
  <c r="P7" i="2"/>
  <c r="P6" i="2"/>
  <c r="P5" i="2"/>
  <c r="P4" i="2"/>
  <c r="P3" i="2"/>
  <c r="P30" i="2" s="1"/>
  <c r="Q8" i="2"/>
  <c r="Q7" i="2"/>
  <c r="Q6" i="2"/>
  <c r="Q5" i="2"/>
  <c r="Q4" i="2"/>
  <c r="Q3" i="2"/>
  <c r="O8" i="2"/>
  <c r="O7" i="2"/>
  <c r="O6" i="2"/>
  <c r="R8" i="2"/>
  <c r="R7" i="2"/>
  <c r="R6" i="2"/>
  <c r="R5" i="2"/>
  <c r="R4" i="2"/>
  <c r="R3" i="2"/>
  <c r="V30" i="2" s="1"/>
  <c r="S8" i="2"/>
  <c r="S7" i="2"/>
  <c r="S6" i="2"/>
  <c r="S5" i="2"/>
  <c r="S4" i="2"/>
  <c r="S3" i="2"/>
  <c r="H8" i="2"/>
  <c r="H7" i="2"/>
  <c r="H6" i="2"/>
  <c r="H5" i="2"/>
  <c r="H3" i="2"/>
  <c r="H4" i="2"/>
  <c r="J29" i="2"/>
  <c r="I29" i="2"/>
  <c r="H29" i="2"/>
  <c r="G29" i="2"/>
  <c r="F24" i="2"/>
  <c r="D24" i="2"/>
  <c r="C24" i="2"/>
  <c r="R29" i="2"/>
  <c r="Q29" i="2"/>
  <c r="P29" i="2"/>
  <c r="O29" i="2"/>
  <c r="N29" i="2"/>
  <c r="M29" i="2"/>
  <c r="L29" i="2"/>
  <c r="K29" i="2"/>
  <c r="G24" i="2"/>
  <c r="J24" i="2"/>
  <c r="K24" i="2"/>
  <c r="L24" i="2"/>
  <c r="M24" i="2"/>
  <c r="N24" i="2"/>
  <c r="S29" i="2"/>
  <c r="O24" i="2"/>
  <c r="Q24" i="2"/>
  <c r="R24" i="2"/>
  <c r="S24" i="2"/>
  <c r="L6" i="1"/>
  <c r="L9" i="1" s="1"/>
  <c r="L11" i="1" s="1"/>
  <c r="AM18" i="2" l="1"/>
  <c r="AM19" i="2" s="1"/>
  <c r="AM27" i="2" s="1"/>
  <c r="AM20" i="2"/>
  <c r="AM26" i="2" s="1"/>
  <c r="U59" i="2"/>
  <c r="U76" i="2"/>
  <c r="V76" i="2" s="1"/>
  <c r="U63" i="2"/>
  <c r="V63" i="2" s="1"/>
  <c r="U66" i="2"/>
  <c r="V66" i="2" s="1"/>
  <c r="U67" i="2"/>
  <c r="V67" i="2" s="1"/>
  <c r="U52" i="2"/>
  <c r="U69" i="2"/>
  <c r="V69" i="2" s="1"/>
  <c r="U60" i="2"/>
  <c r="V60" i="2" s="1"/>
  <c r="T30" i="2"/>
  <c r="U53" i="2"/>
  <c r="V53" i="2" s="1"/>
  <c r="U70" i="2"/>
  <c r="V70" i="2" s="1"/>
  <c r="AO10" i="2"/>
  <c r="AN12" i="2"/>
  <c r="AN29" i="2"/>
  <c r="U62" i="2"/>
  <c r="V62" i="2"/>
  <c r="U54" i="2"/>
  <c r="V54" i="2" s="1"/>
  <c r="U71" i="2"/>
  <c r="V71" i="2" s="1"/>
  <c r="U55" i="2"/>
  <c r="V55" i="2" s="1"/>
  <c r="U72" i="2"/>
  <c r="V72" i="2" s="1"/>
  <c r="U56" i="2"/>
  <c r="V56" i="2" s="1"/>
  <c r="U74" i="2"/>
  <c r="V74" i="2" s="1"/>
  <c r="AP15" i="2"/>
  <c r="S30" i="2"/>
  <c r="AB27" i="2"/>
  <c r="AB20" i="2"/>
  <c r="AC27" i="2"/>
  <c r="AC20" i="2"/>
  <c r="AD26" i="2"/>
  <c r="AD21" i="2"/>
  <c r="AE21" i="2"/>
  <c r="AE26" i="2"/>
  <c r="AF27" i="2"/>
  <c r="AF20" i="2"/>
  <c r="AG26" i="2"/>
  <c r="AG21" i="2"/>
  <c r="R30" i="2"/>
  <c r="N30" i="2"/>
  <c r="L30" i="2"/>
  <c r="O30" i="2"/>
  <c r="Q30" i="2"/>
  <c r="U30" i="2"/>
  <c r="U18" i="2"/>
  <c r="U27" i="2" s="1"/>
  <c r="T32" i="2"/>
  <c r="S32" i="2"/>
  <c r="S44" i="2"/>
  <c r="T57" i="2"/>
  <c r="T79" i="2" s="1"/>
  <c r="AJ24" i="2"/>
  <c r="T75" i="2"/>
  <c r="T64" i="2"/>
  <c r="AL29" i="2"/>
  <c r="AA29" i="2" s="1"/>
  <c r="T44" i="2"/>
  <c r="T46" i="2" s="1"/>
  <c r="AK24" i="2"/>
  <c r="AJ29" i="2"/>
  <c r="AI29" i="2"/>
  <c r="AI24" i="2"/>
  <c r="S77" i="2"/>
  <c r="T16" i="2"/>
  <c r="S39" i="2"/>
  <c r="AK29" i="2"/>
  <c r="F16" i="2"/>
  <c r="E16" i="2"/>
  <c r="E25" i="2" s="1"/>
  <c r="E24" i="2"/>
  <c r="D16" i="2"/>
  <c r="C16" i="2"/>
  <c r="S16" i="2"/>
  <c r="G16" i="2"/>
  <c r="H16" i="2"/>
  <c r="H18" i="2" s="1"/>
  <c r="H24" i="2"/>
  <c r="I16" i="2"/>
  <c r="I25" i="2" s="1"/>
  <c r="I24" i="2"/>
  <c r="J16" i="2"/>
  <c r="K16" i="2"/>
  <c r="L16" i="2"/>
  <c r="M16" i="2"/>
  <c r="N16" i="2"/>
  <c r="O16" i="2"/>
  <c r="P16" i="2"/>
  <c r="P18" i="2" s="1"/>
  <c r="P20" i="2" s="1"/>
  <c r="P24" i="2"/>
  <c r="Q16" i="2"/>
  <c r="R16" i="2"/>
  <c r="AM21" i="2" l="1"/>
  <c r="W75" i="2"/>
  <c r="W77" i="2" s="1"/>
  <c r="U75" i="2"/>
  <c r="U64" i="2"/>
  <c r="U57" i="2"/>
  <c r="U79" i="2" s="1"/>
  <c r="AM32" i="2"/>
  <c r="AN17" i="2" s="1"/>
  <c r="V59" i="2"/>
  <c r="V52" i="2"/>
  <c r="V57" i="2" s="1"/>
  <c r="V79" i="2" s="1"/>
  <c r="V75" i="2"/>
  <c r="AN16" i="2"/>
  <c r="AN25" i="2" s="1"/>
  <c r="AN24" i="2"/>
  <c r="V64" i="2"/>
  <c r="V77" i="2" s="1"/>
  <c r="AP10" i="2"/>
  <c r="AO29" i="2"/>
  <c r="AO12" i="2"/>
  <c r="AQ15" i="2"/>
  <c r="AB26" i="2"/>
  <c r="AB21" i="2"/>
  <c r="AC26" i="2"/>
  <c r="AC21" i="2"/>
  <c r="AF21" i="2"/>
  <c r="AF26" i="2"/>
  <c r="U20" i="2"/>
  <c r="U51" i="2" s="1"/>
  <c r="AL16" i="2"/>
  <c r="S45" i="2"/>
  <c r="S46" i="2" s="1"/>
  <c r="T77" i="2"/>
  <c r="AI16" i="2"/>
  <c r="AI18" i="2" s="1"/>
  <c r="AI20" i="2" s="1"/>
  <c r="AJ16" i="2"/>
  <c r="AJ18" i="2" s="1"/>
  <c r="AK16" i="2"/>
  <c r="AK18" i="2" s="1"/>
  <c r="T25" i="2"/>
  <c r="T18" i="2"/>
  <c r="AH24" i="2"/>
  <c r="AH16" i="2"/>
  <c r="P21" i="2"/>
  <c r="E18" i="2"/>
  <c r="E27" i="2" s="1"/>
  <c r="F25" i="2"/>
  <c r="F18" i="2"/>
  <c r="D25" i="2"/>
  <c r="D18" i="2"/>
  <c r="C25" i="2"/>
  <c r="C18" i="2"/>
  <c r="H25" i="2"/>
  <c r="S25" i="2"/>
  <c r="S18" i="2"/>
  <c r="G25" i="2"/>
  <c r="G18" i="2"/>
  <c r="H27" i="2"/>
  <c r="H20" i="2"/>
  <c r="I18" i="2"/>
  <c r="I27" i="2" s="1"/>
  <c r="J25" i="2"/>
  <c r="J18" i="2"/>
  <c r="K25" i="2"/>
  <c r="K18" i="2"/>
  <c r="L25" i="2"/>
  <c r="L18" i="2"/>
  <c r="M25" i="2"/>
  <c r="M18" i="2"/>
  <c r="N25" i="2"/>
  <c r="N18" i="2"/>
  <c r="O25" i="2"/>
  <c r="O18" i="2"/>
  <c r="P25" i="2"/>
  <c r="P27" i="2"/>
  <c r="P26" i="2"/>
  <c r="Q25" i="2"/>
  <c r="Q18" i="2"/>
  <c r="R25" i="2"/>
  <c r="R18" i="2"/>
  <c r="U77" i="2" l="1"/>
  <c r="AO24" i="2"/>
  <c r="AO16" i="2"/>
  <c r="AO25" i="2" s="1"/>
  <c r="AQ10" i="2"/>
  <c r="AP12" i="2"/>
  <c r="AP29" i="2"/>
  <c r="AN18" i="2"/>
  <c r="AN19" i="2" s="1"/>
  <c r="AN27" i="2" s="1"/>
  <c r="AR15" i="2"/>
  <c r="U21" i="2"/>
  <c r="U26" i="2"/>
  <c r="AL25" i="2"/>
  <c r="AL18" i="2"/>
  <c r="AK25" i="2"/>
  <c r="AI25" i="2"/>
  <c r="AI27" i="2"/>
  <c r="AJ25" i="2"/>
  <c r="AI26" i="2"/>
  <c r="AI21" i="2"/>
  <c r="T27" i="2"/>
  <c r="T20" i="2"/>
  <c r="AK27" i="2"/>
  <c r="AK20" i="2"/>
  <c r="AJ20" i="2"/>
  <c r="AJ27" i="2"/>
  <c r="AH18" i="2"/>
  <c r="AH25" i="2"/>
  <c r="E20" i="2"/>
  <c r="E26" i="2" s="1"/>
  <c r="F27" i="2"/>
  <c r="F20" i="2"/>
  <c r="D27" i="2"/>
  <c r="D20" i="2"/>
  <c r="C27" i="2"/>
  <c r="C20" i="2"/>
  <c r="S20" i="2"/>
  <c r="S27" i="2"/>
  <c r="G27" i="2"/>
  <c r="G20" i="2"/>
  <c r="H26" i="2"/>
  <c r="H21" i="2"/>
  <c r="I20" i="2"/>
  <c r="I26" i="2" s="1"/>
  <c r="J27" i="2"/>
  <c r="J20" i="2"/>
  <c r="K27" i="2"/>
  <c r="K20" i="2"/>
  <c r="L27" i="2"/>
  <c r="L20" i="2"/>
  <c r="M27" i="2"/>
  <c r="M20" i="2"/>
  <c r="N27" i="2"/>
  <c r="N20" i="2"/>
  <c r="O27" i="2"/>
  <c r="O20" i="2"/>
  <c r="Q27" i="2"/>
  <c r="Q20" i="2"/>
  <c r="R27" i="2"/>
  <c r="R20" i="2"/>
  <c r="AN20" i="2" l="1"/>
  <c r="AP24" i="2"/>
  <c r="AP16" i="2"/>
  <c r="AP25" i="2" s="1"/>
  <c r="AQ29" i="2"/>
  <c r="AR10" i="2"/>
  <c r="AQ12" i="2"/>
  <c r="T51" i="2"/>
  <c r="W48" i="2"/>
  <c r="AN21" i="2"/>
  <c r="AN26" i="2"/>
  <c r="AN32" i="2"/>
  <c r="AS15" i="2"/>
  <c r="V48" i="2"/>
  <c r="V49" i="2" s="1"/>
  <c r="AL27" i="2"/>
  <c r="AL20" i="2"/>
  <c r="AL48" i="2" s="1"/>
  <c r="AL49" i="2" s="1"/>
  <c r="S51" i="2"/>
  <c r="U48" i="2"/>
  <c r="U49" i="2" s="1"/>
  <c r="T48" i="2"/>
  <c r="T49" i="2" s="1"/>
  <c r="T26" i="2"/>
  <c r="T21" i="2"/>
  <c r="R48" i="2"/>
  <c r="S48" i="2"/>
  <c r="S49" i="2" s="1"/>
  <c r="Q48" i="2"/>
  <c r="AH20" i="2"/>
  <c r="AH27" i="2"/>
  <c r="P48" i="2"/>
  <c r="AJ26" i="2"/>
  <c r="AJ21" i="2"/>
  <c r="O48" i="2"/>
  <c r="AK21" i="2"/>
  <c r="AK26" i="2"/>
  <c r="E21" i="2"/>
  <c r="F26" i="2"/>
  <c r="F21" i="2"/>
  <c r="D26" i="2"/>
  <c r="D21" i="2"/>
  <c r="C26" i="2"/>
  <c r="C21" i="2"/>
  <c r="S21" i="2"/>
  <c r="S26" i="2"/>
  <c r="G26" i="2"/>
  <c r="G21" i="2"/>
  <c r="I21" i="2"/>
  <c r="J26" i="2"/>
  <c r="J21" i="2"/>
  <c r="K21" i="2"/>
  <c r="K26" i="2"/>
  <c r="L26" i="2"/>
  <c r="L21" i="2"/>
  <c r="M26" i="2"/>
  <c r="M21" i="2"/>
  <c r="N26" i="2"/>
  <c r="N21" i="2"/>
  <c r="O26" i="2"/>
  <c r="O21" i="2"/>
  <c r="Q21" i="2"/>
  <c r="Q26" i="2"/>
  <c r="R26" i="2"/>
  <c r="R21" i="2"/>
  <c r="AQ24" i="2" l="1"/>
  <c r="AQ16" i="2"/>
  <c r="AQ25" i="2" s="1"/>
  <c r="AR29" i="2"/>
  <c r="AS10" i="2"/>
  <c r="AR12" i="2"/>
  <c r="AO17" i="2"/>
  <c r="AO18" i="2" s="1"/>
  <c r="AO19" i="2" s="1"/>
  <c r="AT15" i="2"/>
  <c r="AL26" i="2"/>
  <c r="AL21" i="2"/>
  <c r="AL51" i="2"/>
  <c r="AH26" i="2"/>
  <c r="AH21" i="2"/>
  <c r="AR24" i="2" l="1"/>
  <c r="AR16" i="2"/>
  <c r="AR25" i="2" s="1"/>
  <c r="AS29" i="2"/>
  <c r="AS12" i="2"/>
  <c r="AT10" i="2"/>
  <c r="AO20" i="2"/>
  <c r="AO27" i="2"/>
  <c r="AU15" i="2"/>
  <c r="AS24" i="2" l="1"/>
  <c r="AS16" i="2"/>
  <c r="AS25" i="2" s="1"/>
  <c r="AT29" i="2"/>
  <c r="AU10" i="2"/>
  <c r="AT12" i="2"/>
  <c r="AO26" i="2"/>
  <c r="AO21" i="2"/>
  <c r="AO32" i="2"/>
  <c r="AV15" i="2"/>
  <c r="AU12" i="2" l="1"/>
  <c r="AV10" i="2"/>
  <c r="AU29" i="2"/>
  <c r="AT24" i="2"/>
  <c r="AT16" i="2"/>
  <c r="AT25" i="2" s="1"/>
  <c r="AP17" i="2"/>
  <c r="AP18" i="2" s="1"/>
  <c r="AW15" i="2"/>
  <c r="AV29" i="2" l="1"/>
  <c r="AV12" i="2"/>
  <c r="AW10" i="2"/>
  <c r="AU24" i="2"/>
  <c r="AU16" i="2"/>
  <c r="AU25" i="2" s="1"/>
  <c r="AP19" i="2"/>
  <c r="AP27" i="2" s="1"/>
  <c r="AX15" i="2"/>
  <c r="AV24" i="2" l="1"/>
  <c r="AV16" i="2"/>
  <c r="AV25" i="2" s="1"/>
  <c r="AW12" i="2"/>
  <c r="AW29" i="2"/>
  <c r="AX10" i="2"/>
  <c r="AP20" i="2"/>
  <c r="AY15" i="2"/>
  <c r="AX12" i="2" l="1"/>
  <c r="AX29" i="2"/>
  <c r="AY10" i="2"/>
  <c r="AW24" i="2"/>
  <c r="AW16" i="2"/>
  <c r="AW25" i="2" s="1"/>
  <c r="AP26" i="2"/>
  <c r="AP32" i="2"/>
  <c r="AQ17" i="2" s="1"/>
  <c r="AQ18" i="2" s="1"/>
  <c r="AP21" i="2"/>
  <c r="BA15" i="2"/>
  <c r="AZ15" i="2"/>
  <c r="AY12" i="2" l="1"/>
  <c r="AY29" i="2"/>
  <c r="AZ10" i="2"/>
  <c r="AX24" i="2"/>
  <c r="AX16" i="2"/>
  <c r="AX25" i="2" s="1"/>
  <c r="AQ19" i="2"/>
  <c r="AQ27" i="2" s="1"/>
  <c r="AQ20" i="2"/>
  <c r="AZ12" i="2" l="1"/>
  <c r="AZ29" i="2"/>
  <c r="BA10" i="2"/>
  <c r="AY24" i="2"/>
  <c r="AY16" i="2"/>
  <c r="AY25" i="2" s="1"/>
  <c r="AQ26" i="2"/>
  <c r="AQ21" i="2"/>
  <c r="AQ32" i="2"/>
  <c r="BA29" i="2" l="1"/>
  <c r="BA12" i="2"/>
  <c r="AZ24" i="2"/>
  <c r="AZ16" i="2"/>
  <c r="AZ25" i="2" s="1"/>
  <c r="AR17" i="2"/>
  <c r="AR18" i="2" s="1"/>
  <c r="AR19" i="2" s="1"/>
  <c r="BA24" i="2" l="1"/>
  <c r="BA16" i="2"/>
  <c r="BA25" i="2" s="1"/>
  <c r="AR20" i="2"/>
  <c r="AR27" i="2"/>
  <c r="AR26" i="2" l="1"/>
  <c r="AR21" i="2"/>
  <c r="AR32" i="2"/>
  <c r="AS17" i="2" l="1"/>
  <c r="AS18" i="2" s="1"/>
  <c r="AS19" i="2" s="1"/>
  <c r="AS20" i="2" l="1"/>
  <c r="AS27" i="2"/>
  <c r="AS26" i="2" l="1"/>
  <c r="AS21" i="2"/>
  <c r="AS32" i="2"/>
  <c r="AT17" i="2" l="1"/>
  <c r="AT18" i="2" s="1"/>
  <c r="AT19" i="2" l="1"/>
  <c r="AT27" i="2" s="1"/>
  <c r="AT20" i="2" l="1"/>
  <c r="AT26" i="2" l="1"/>
  <c r="AT21" i="2"/>
  <c r="AT32" i="2"/>
  <c r="AU17" i="2" l="1"/>
  <c r="AU18" i="2" s="1"/>
  <c r="AU19" i="2" s="1"/>
  <c r="AU20" i="2" l="1"/>
  <c r="AU27" i="2"/>
  <c r="AU26" i="2" l="1"/>
  <c r="AU21" i="2"/>
  <c r="AU32" i="2"/>
  <c r="AV17" i="2" l="1"/>
  <c r="AV18" i="2" s="1"/>
  <c r="AV19" i="2" l="1"/>
  <c r="AV27" i="2" s="1"/>
  <c r="AV20" i="2" l="1"/>
  <c r="AV26" i="2" l="1"/>
  <c r="AV21" i="2"/>
  <c r="AV32" i="2"/>
  <c r="AW17" i="2" l="1"/>
  <c r="AW18" i="2" s="1"/>
  <c r="AW19" i="2" s="1"/>
  <c r="AW20" i="2" l="1"/>
  <c r="AW27" i="2"/>
  <c r="AW26" i="2" l="1"/>
  <c r="AW21" i="2"/>
  <c r="AW32" i="2"/>
  <c r="AX17" i="2" l="1"/>
  <c r="AX18" i="2" s="1"/>
  <c r="AX19" i="2" l="1"/>
  <c r="AX27" i="2" s="1"/>
  <c r="AX20" i="2" l="1"/>
  <c r="AX26" i="2" s="1"/>
  <c r="AX32" i="2" l="1"/>
  <c r="AY17" i="2" s="1"/>
  <c r="AY18" i="2" s="1"/>
  <c r="AX21" i="2"/>
  <c r="AY19" i="2" l="1"/>
  <c r="AY27" i="2" s="1"/>
  <c r="AY20" i="2"/>
  <c r="AY26" i="2" l="1"/>
  <c r="AY21" i="2"/>
  <c r="AY32" i="2"/>
  <c r="AZ17" i="2" l="1"/>
  <c r="AZ18" i="2" s="1"/>
  <c r="AZ19" i="2" s="1"/>
  <c r="AZ20" i="2" l="1"/>
  <c r="AZ27" i="2"/>
  <c r="AZ26" i="2" l="1"/>
  <c r="AZ21" i="2"/>
  <c r="AZ32" i="2"/>
  <c r="BA17" i="2" l="1"/>
  <c r="BA18" i="2" s="1"/>
  <c r="BA19" i="2" s="1"/>
  <c r="BA20" i="2" l="1"/>
  <c r="BB20" i="2" s="1"/>
  <c r="BC20" i="2" s="1"/>
  <c r="BD20" i="2" s="1"/>
  <c r="BE20" i="2" s="1"/>
  <c r="BF20" i="2" s="1"/>
  <c r="BG20" i="2" s="1"/>
  <c r="BH20" i="2" s="1"/>
  <c r="BI20" i="2" s="1"/>
  <c r="BJ20" i="2" s="1"/>
  <c r="BK20" i="2" s="1"/>
  <c r="BL20" i="2" s="1"/>
  <c r="BM20" i="2" s="1"/>
  <c r="BN20" i="2" s="1"/>
  <c r="BO20" i="2" s="1"/>
  <c r="BP20" i="2" s="1"/>
  <c r="BQ20" i="2" s="1"/>
  <c r="BR20" i="2" s="1"/>
  <c r="BS20" i="2" s="1"/>
  <c r="BT20" i="2" s="1"/>
  <c r="BU20" i="2" s="1"/>
  <c r="BV20" i="2" s="1"/>
  <c r="BW20" i="2" s="1"/>
  <c r="BX20" i="2" s="1"/>
  <c r="BY20" i="2" s="1"/>
  <c r="BZ20" i="2" s="1"/>
  <c r="CA20" i="2" s="1"/>
  <c r="CB20" i="2" s="1"/>
  <c r="CC20" i="2" s="1"/>
  <c r="CD20" i="2" s="1"/>
  <c r="CE20" i="2" s="1"/>
  <c r="CF20" i="2" s="1"/>
  <c r="CG20" i="2" s="1"/>
  <c r="CH20" i="2" s="1"/>
  <c r="CI20" i="2" s="1"/>
  <c r="CJ20" i="2" s="1"/>
  <c r="CK20" i="2" s="1"/>
  <c r="CL20" i="2" s="1"/>
  <c r="CM20" i="2" s="1"/>
  <c r="CN20" i="2" s="1"/>
  <c r="CO20" i="2" s="1"/>
  <c r="CP20" i="2" s="1"/>
  <c r="CQ20" i="2" s="1"/>
  <c r="CR20" i="2" s="1"/>
  <c r="CS20" i="2" s="1"/>
  <c r="CT20" i="2" s="1"/>
  <c r="CU20" i="2" s="1"/>
  <c r="CV20" i="2" s="1"/>
  <c r="CW20" i="2" s="1"/>
  <c r="CX20" i="2" s="1"/>
  <c r="CY20" i="2" s="1"/>
  <c r="CZ20" i="2" s="1"/>
  <c r="DA20" i="2" s="1"/>
  <c r="DB20" i="2" s="1"/>
  <c r="DC20" i="2" s="1"/>
  <c r="DD20" i="2" s="1"/>
  <c r="DE20" i="2" s="1"/>
  <c r="DF20" i="2" s="1"/>
  <c r="DG20" i="2" s="1"/>
  <c r="DH20" i="2" s="1"/>
  <c r="DI20" i="2" s="1"/>
  <c r="DJ20" i="2" s="1"/>
  <c r="DK20" i="2" s="1"/>
  <c r="DL20" i="2" s="1"/>
  <c r="DM20" i="2" s="1"/>
  <c r="DN20" i="2" s="1"/>
  <c r="DO20" i="2" s="1"/>
  <c r="DP20" i="2" s="1"/>
  <c r="DQ20" i="2" s="1"/>
  <c r="DR20" i="2" s="1"/>
  <c r="DS20" i="2" s="1"/>
  <c r="DT20" i="2" s="1"/>
  <c r="DU20" i="2" s="1"/>
  <c r="DV20" i="2" s="1"/>
  <c r="DW20" i="2" s="1"/>
  <c r="DX20" i="2" s="1"/>
  <c r="DY20" i="2" s="1"/>
  <c r="DZ20" i="2" s="1"/>
  <c r="EA20" i="2" s="1"/>
  <c r="EB20" i="2" s="1"/>
  <c r="EC20" i="2" s="1"/>
  <c r="ED20" i="2" s="1"/>
  <c r="EE20" i="2" s="1"/>
  <c r="EF20" i="2" s="1"/>
  <c r="EG20" i="2" s="1"/>
  <c r="EH20" i="2" s="1"/>
  <c r="EI20" i="2" s="1"/>
  <c r="EJ20" i="2" s="1"/>
  <c r="EK20" i="2" s="1"/>
  <c r="EL20" i="2" s="1"/>
  <c r="EM20" i="2" s="1"/>
  <c r="EN20" i="2" s="1"/>
  <c r="EO20" i="2" s="1"/>
  <c r="EP20" i="2" s="1"/>
  <c r="EQ20" i="2" s="1"/>
  <c r="ER20" i="2" s="1"/>
  <c r="ES20" i="2" s="1"/>
  <c r="ET20" i="2" s="1"/>
  <c r="EU20" i="2" s="1"/>
  <c r="EV20" i="2" s="1"/>
  <c r="EW20" i="2" s="1"/>
  <c r="EX20" i="2" s="1"/>
  <c r="BD27" i="2" s="1"/>
  <c r="BD28" i="2" s="1"/>
  <c r="BD30" i="2" s="1"/>
  <c r="BA27" i="2"/>
  <c r="BA26" i="2" l="1"/>
  <c r="BA21" i="2"/>
  <c r="BA3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Dennis Hesselberth</author>
    <author>Fidel</author>
  </authors>
  <commentList>
    <comment ref="V10" authorId="0" shapeId="0" xr:uid="{1C1515D4-3704-48CD-8F65-5D113858CBB0}">
      <text>
        <r>
          <rPr>
            <b/>
            <sz val="9"/>
            <color indexed="81"/>
            <rFont val="Tahoma"/>
            <family val="2"/>
          </rPr>
          <t>Dennis Hesselberth:</t>
        </r>
        <r>
          <rPr>
            <sz val="9"/>
            <color indexed="81"/>
            <rFont val="Tahoma"/>
            <family val="2"/>
          </rPr>
          <t xml:space="preserve">
Guidance:
26,1B - 26,9B</t>
        </r>
      </text>
    </comment>
    <comment ref="W10" authorId="1" shapeId="0" xr:uid="{307B06D0-E83C-4C1C-8944-F8C03814036E}">
      <text>
        <r>
          <rPr>
            <b/>
            <sz val="9"/>
            <color indexed="81"/>
            <rFont val="Tahoma"/>
            <family val="2"/>
          </rPr>
          <t>Fidel:</t>
        </r>
        <r>
          <rPr>
            <sz val="9"/>
            <color indexed="81"/>
            <rFont val="Tahoma"/>
            <family val="2"/>
          </rPr>
          <t xml:space="preserve">
Guidance:
$25 B - $25,8 B</t>
        </r>
      </text>
    </comment>
  </commentList>
</comments>
</file>

<file path=xl/sharedStrings.xml><?xml version="1.0" encoding="utf-8"?>
<sst xmlns="http://schemas.openxmlformats.org/spreadsheetml/2006/main" count="177" uniqueCount="130">
  <si>
    <t>Price</t>
  </si>
  <si>
    <t>Shares</t>
  </si>
  <si>
    <t>MC</t>
  </si>
  <si>
    <t>Cash</t>
  </si>
  <si>
    <t>Debt</t>
  </si>
  <si>
    <t>EV</t>
  </si>
  <si>
    <t>Q124</t>
  </si>
  <si>
    <t>Revenue</t>
  </si>
  <si>
    <t>COGS</t>
  </si>
  <si>
    <t>Gross profit</t>
  </si>
  <si>
    <t>R&amp;D</t>
  </si>
  <si>
    <t>SG&amp;A</t>
  </si>
  <si>
    <t>OpEx</t>
  </si>
  <si>
    <t>OpIn</t>
  </si>
  <si>
    <t>Interest income</t>
  </si>
  <si>
    <t>Pretax</t>
  </si>
  <si>
    <t>Taxes</t>
  </si>
  <si>
    <t>Net income</t>
  </si>
  <si>
    <t>EPS</t>
  </si>
  <si>
    <t>Gross margin</t>
  </si>
  <si>
    <t>Operating margin</t>
  </si>
  <si>
    <t>Net margin</t>
  </si>
  <si>
    <t>Tax rate</t>
  </si>
  <si>
    <t>Revenue y/y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</si>
  <si>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</si>
  <si>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</si>
  <si>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</si>
  <si>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</si>
  <si>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</si>
  <si>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</si>
  <si>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</si>
  <si>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</si>
  <si>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</si>
  <si>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</si>
  <si>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</si>
  <si>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</si>
  <si>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Q224</t>
  </si>
  <si>
    <t>Q324</t>
  </si>
  <si>
    <t>Q424</t>
  </si>
  <si>
    <t>Q120</t>
  </si>
  <si>
    <t>Q220</t>
  </si>
  <si>
    <t>Q320</t>
  </si>
  <si>
    <t>Q420</t>
  </si>
  <si>
    <t>Smartphone</t>
  </si>
  <si>
    <t>High performance computing</t>
  </si>
  <si>
    <t>Internet of things</t>
  </si>
  <si>
    <t>Automotive</t>
  </si>
  <si>
    <t>Digital consumer electronics</t>
  </si>
  <si>
    <t>Others</t>
  </si>
  <si>
    <t>5nm</t>
  </si>
  <si>
    <t>7nm</t>
  </si>
  <si>
    <t>16nm</t>
  </si>
  <si>
    <t>28nm</t>
  </si>
  <si>
    <t>40/45nm</t>
  </si>
  <si>
    <t>65nm</t>
  </si>
  <si>
    <t>90nm</t>
  </si>
  <si>
    <t>0.11/0.13um</t>
  </si>
  <si>
    <t>0.15/0.18um</t>
  </si>
  <si>
    <t>0.25um and above</t>
  </si>
  <si>
    <t>3nm</t>
  </si>
  <si>
    <t>High performance computing y/y</t>
  </si>
  <si>
    <t>Net cash</t>
  </si>
  <si>
    <t>A/R</t>
  </si>
  <si>
    <t>Inventories</t>
  </si>
  <si>
    <t>Other</t>
  </si>
  <si>
    <t>OCA</t>
  </si>
  <si>
    <t>PP&amp;E</t>
  </si>
  <si>
    <t>Assets</t>
  </si>
  <si>
    <t>A/P</t>
  </si>
  <si>
    <t>Accrued expense</t>
  </si>
  <si>
    <t>Liabilities</t>
  </si>
  <si>
    <t>S/E</t>
  </si>
  <si>
    <t>L+S/E</t>
  </si>
  <si>
    <t>Cash flow TTM</t>
  </si>
  <si>
    <t>ROIC</t>
  </si>
  <si>
    <t>Model NI</t>
  </si>
  <si>
    <t>Reported NI</t>
  </si>
  <si>
    <t>D&amp;A</t>
  </si>
  <si>
    <t>Share of profits</t>
  </si>
  <si>
    <t>Working capital</t>
  </si>
  <si>
    <t>CFFO</t>
  </si>
  <si>
    <t xml:space="preserve">Interest </t>
  </si>
  <si>
    <t>Dividends</t>
  </si>
  <si>
    <t>CapEx</t>
  </si>
  <si>
    <t>CFFI</t>
  </si>
  <si>
    <t>Issuance bonds</t>
  </si>
  <si>
    <t>Repayment bonds</t>
  </si>
  <si>
    <t>Hedging</t>
  </si>
  <si>
    <t>Issuance loans</t>
  </si>
  <si>
    <t>Repayment loans</t>
  </si>
  <si>
    <t>Interest paid</t>
  </si>
  <si>
    <t>CFFF</t>
  </si>
  <si>
    <t>FX</t>
  </si>
  <si>
    <t>CIC</t>
  </si>
  <si>
    <t>Treasury stock</t>
  </si>
  <si>
    <t>FCF</t>
  </si>
  <si>
    <t>CFO</t>
  </si>
  <si>
    <t>C.C. Wei</t>
  </si>
  <si>
    <t>Wendell Huang</t>
  </si>
  <si>
    <t>Chairman &amp; CEO</t>
  </si>
  <si>
    <t>Wafer Revenue by Technologie</t>
  </si>
  <si>
    <t>Founded</t>
  </si>
  <si>
    <t>Founders</t>
  </si>
  <si>
    <t>Morris Chang</t>
  </si>
  <si>
    <t>ONCL</t>
  </si>
  <si>
    <t>Investments</t>
  </si>
  <si>
    <t>Exchange rate USD/TWD</t>
  </si>
  <si>
    <t>Q125</t>
  </si>
  <si>
    <t>Q225</t>
  </si>
  <si>
    <t>Q325</t>
  </si>
  <si>
    <t>Q425</t>
  </si>
  <si>
    <t>Terminal</t>
  </si>
  <si>
    <t>Discount</t>
  </si>
  <si>
    <t>NPV</t>
  </si>
  <si>
    <t>Current</t>
  </si>
  <si>
    <t>Upside</t>
  </si>
  <si>
    <t>TSMC market share</t>
  </si>
  <si>
    <t>Ticker:</t>
  </si>
  <si>
    <t>TWSE</t>
  </si>
  <si>
    <t>TSM</t>
  </si>
  <si>
    <t>NYSE</t>
  </si>
  <si>
    <t>ADS 1/5</t>
  </si>
  <si>
    <t>ROU, Intangible &amp; Other</t>
  </si>
  <si>
    <t>China</t>
  </si>
  <si>
    <t>Asia Pacific</t>
  </si>
  <si>
    <t>North America</t>
  </si>
  <si>
    <t>Japan</t>
  </si>
  <si>
    <t>EMEA</t>
  </si>
  <si>
    <t>Advanced</t>
  </si>
  <si>
    <t>Total advanced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</si>
</sst>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x"/>
    <numFmt numFmtId="165" formatCode="d/mm/yy;@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/>
    <xf numFmtId="4" fontId="0" fillId="0" borderId="0" xfId="0" applyNumberFormat="1"/>
    <xf numFmtId="9" fontId="1" fillId="0" borderId="0" xfId="0" applyNumberFormat="1" applyFont="1"/>
    <xf numFmtId="0" fontId="1" fillId="0" borderId="0" xfId="0" applyFont="1"/>
    <xf numFmtId="3" fontId="1" fillId="0" borderId="0" xfId="0" applyNumberFormat="1" applyFont="1"/>
    <xf numFmtId="14" fontId="0" fillId="0" borderId="0" xfId="0" applyNumberFormat="1"/>
    <xf numFmtId="164" fontId="0" fillId="0" borderId="0" xfId="0" applyNumberFormat="1"/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left"/>
    </xf>
    <xf numFmtId="9" fontId="0" fillId="0" borderId="0" xfId="0" applyNumberFormat="1" applyAlignment="1">
      <alignment horizontal="right"/>
    </xf>
    <xf numFmtId="9" fontId="0" fillId="0" borderId="0" xfId="0" applyNumberFormat="1" applyAlignment="1">
      <alignment horizontal="left"/>
    </xf>
    <xf numFmtId="9" fontId="1" fillId="0" borderId="0" xfId="0" applyNumberFormat="1" applyFont="1" applyAlignment="1">
      <alignment horizontal="left"/>
    </xf>
    <xf numFmtId="165" fontId="0" fillId="0" borderId="0" xfId="0" applyNumberFormat="1"/>
    <xf numFmtId="0" fontId="0" fillId="0" borderId="0" xfId="0" applyAlignment="1">
      <alignment horizontal="left"/>
    </xf>
    <xf numFmtId="0" fontId="0" fillId="0" borderId="0" xfId="0" applyFont="1"/>
    <xf numFmtId="3" fontId="0" fillId="0" borderId="0" xfId="0" applyNumberFormat="1" applyFont="1"/>
    <xf numFmtId="9" fontId="0" fillId="0" borderId="0" xfId="0" applyNumberFormat="1" applyFont="1"/>
    <xf numFmtId="3" fontId="0" fillId="0" borderId="1" xfId="0" applyNumberForma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19050</xdr:colOff>
      <xdr:row>0</xdr:row>
      <xdr:rowOff>0</xdr:rowOff>
    </xdr:from>
    <xdr:to>
      <xdr:col>23</xdr:col>
      <xdr:colOff>19050</xdr:colOff>
      <xdr:row>82</xdr:row>
      <xdr:rowOff>114300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A6F8116-8A86-EA96-FA88-D65FBF01F167}"/>
            </a:ext>
          </a:extLst>
        </xdr:cNvPr>
        <xdr:cNvCxnSpPr/>
      </xdr:nvCxnSpPr>
      <xdr:spPr>
        <a:xfrm>
          <a:off x="16230600" y="0"/>
          <a:ext cx="0" cy="135540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28575</xdr:colOff>
      <xdr:row>0</xdr:row>
      <xdr:rowOff>0</xdr:rowOff>
    </xdr:from>
    <xdr:to>
      <xdr:col>38</xdr:col>
      <xdr:colOff>28575</xdr:colOff>
      <xdr:row>82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AF9BD01-C0EA-4CE2-BD83-849B1E5489F4}"/>
            </a:ext>
          </a:extLst>
        </xdr:cNvPr>
        <xdr:cNvCxnSpPr/>
      </xdr:nvCxnSpPr>
      <xdr:spPr>
        <a:xfrm>
          <a:off x="22945725" y="0"/>
          <a:ext cx="0" cy="199167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DDCDF-1921-4C81-8A8E-CC0A32F651E6}">
  <dimension ref="B1:M16"/>
  <sheetViews>
    <sheetView workbookViewId="0">
      <selection activeCell="L5" sqref="L5"/>
    </sheetView>
  </sheetViews>
  <sheetFormatPr defaultRowHeight="12.75" x14ac:dyDescent="0.2"/>
  <cols>
    <col min="1" max="1" width="3.140625" customWidth="1"/>
    <col min="11" max="11" width="10" customWidth="1"/>
    <col min="12" max="12" width="11.140625" bestFit="1" customWidth="1"/>
  </cols>
  <sheetData>
    <row r="1" spans="2:13" x14ac:dyDescent="0.2">
      <c r="B1" t="s">
        <v>117</v>
      </c>
      <c r="C1">
        <v>2330</v>
      </c>
      <c r="D1" s="2" t="s">
        <v>118</v>
      </c>
    </row>
    <row r="2" spans="2:13" x14ac:dyDescent="0.2">
      <c r="B2" t="s">
        <v>121</v>
      </c>
      <c r="C2" s="2" t="s">
        <v>119</v>
      </c>
      <c r="D2" s="2" t="s">
        <v>120</v>
      </c>
    </row>
    <row r="4" spans="2:13" x14ac:dyDescent="0.2">
      <c r="B4" t="s">
        <v>116</v>
      </c>
      <c r="D4" s="3">
        <v>0.28000000000000003</v>
      </c>
      <c r="E4">
        <v>2023</v>
      </c>
      <c r="K4" t="s">
        <v>0</v>
      </c>
      <c r="L4" s="1">
        <v>151</v>
      </c>
    </row>
    <row r="5" spans="2:13" x14ac:dyDescent="0.2">
      <c r="D5" s="3">
        <v>0.3</v>
      </c>
      <c r="E5">
        <v>2022</v>
      </c>
      <c r="K5" t="s">
        <v>1</v>
      </c>
      <c r="L5" s="1">
        <f>+Model!V22</f>
        <v>5185.8</v>
      </c>
      <c r="M5" s="2" t="s">
        <v>107</v>
      </c>
    </row>
    <row r="6" spans="2:13" x14ac:dyDescent="0.2">
      <c r="K6" t="s">
        <v>2</v>
      </c>
      <c r="L6" s="1">
        <f>+L4*L5</f>
        <v>783055.8</v>
      </c>
      <c r="M6" s="2"/>
    </row>
    <row r="7" spans="2:13" x14ac:dyDescent="0.2">
      <c r="K7" t="s">
        <v>3</v>
      </c>
      <c r="L7" s="1">
        <f>+Model!W33</f>
        <v>86248</v>
      </c>
      <c r="M7" s="2" t="s">
        <v>107</v>
      </c>
    </row>
    <row r="8" spans="2:13" x14ac:dyDescent="0.2">
      <c r="K8" t="s">
        <v>4</v>
      </c>
      <c r="L8" s="1">
        <f>+Model!W42</f>
        <v>30418</v>
      </c>
      <c r="M8" s="2" t="s">
        <v>107</v>
      </c>
    </row>
    <row r="9" spans="2:13" x14ac:dyDescent="0.2">
      <c r="K9" t="s">
        <v>5</v>
      </c>
      <c r="L9" s="1">
        <f>+L6-L7+L8</f>
        <v>727225.8</v>
      </c>
    </row>
    <row r="10" spans="2:13" x14ac:dyDescent="0.2">
      <c r="L10" s="1">
        <v>26331</v>
      </c>
    </row>
    <row r="11" spans="2:13" x14ac:dyDescent="0.2">
      <c r="L11" s="9">
        <f>+L9/L10</f>
        <v>27.618616839466789</v>
      </c>
    </row>
    <row r="13" spans="2:13" x14ac:dyDescent="0.2">
      <c r="K13" t="s">
        <v>101</v>
      </c>
      <c r="L13">
        <v>1987</v>
      </c>
    </row>
    <row r="14" spans="2:13" ht="13.5" customHeight="1" x14ac:dyDescent="0.2">
      <c r="K14" t="s">
        <v>102</v>
      </c>
      <c r="L14" t="s">
        <v>103</v>
      </c>
    </row>
    <row r="15" spans="2:13" x14ac:dyDescent="0.2">
      <c r="K15" t="s">
        <v>99</v>
      </c>
      <c r="L15" t="s">
        <v>97</v>
      </c>
    </row>
    <row r="16" spans="2:13" x14ac:dyDescent="0.2">
      <c r="K16" t="s">
        <v>96</v>
      </c>
      <c r="L16" t="s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A967D-EDD5-44C4-8D92-D1CDD30DF9B0}">
  <dimension ref="A1:EX81"/>
  <sheetViews>
    <sheetView tabSelected="1" workbookViewId="0">
      <pane xSplit="2" ySplit="2" topLeftCell="Q39" activePane="bottomRight" state="frozen"/>
      <selection pane="topRight" activeCell="C1" sqref="C1"/>
      <selection pane="bottomLeft" activeCell="A3" sqref="A3"/>
      <selection pane="bottomRight" activeCell="AF46" sqref="AF46"/>
    </sheetView>
  </sheetViews>
  <sheetFormatPr defaultRowHeight="12.75" x14ac:dyDescent="0.2"/>
  <cols>
    <col min="1" max="1" width="2.7109375" customWidth="1"/>
    <col min="2" max="2" width="28.28515625" bestFit="1" customWidth="1"/>
    <col min="3" max="3" width="10.140625" bestFit="1" customWidth="1"/>
    <col min="4" max="6" width="11" customWidth="1"/>
    <col min="7" max="19" width="10.140625" style="1" bestFit="1" customWidth="1"/>
    <col min="20" max="20" width="9.7109375" style="1" bestFit="1" customWidth="1"/>
    <col min="21" max="16384" width="9.140625" style="1"/>
  </cols>
  <sheetData>
    <row r="1" spans="1:53" s="15" customFormat="1" x14ac:dyDescent="0.2">
      <c r="C1" s="15">
        <v>43921</v>
      </c>
      <c r="D1" s="15">
        <v>44012</v>
      </c>
      <c r="E1" s="15">
        <v>44104</v>
      </c>
      <c r="F1" s="15">
        <v>44196</v>
      </c>
      <c r="G1" s="15">
        <v>44286</v>
      </c>
      <c r="H1" s="15">
        <v>44377</v>
      </c>
      <c r="I1" s="15">
        <v>44469</v>
      </c>
      <c r="J1" s="15">
        <v>44561</v>
      </c>
      <c r="K1" s="15">
        <v>44651</v>
      </c>
      <c r="L1" s="15">
        <v>44742</v>
      </c>
      <c r="M1" s="15">
        <v>44834</v>
      </c>
      <c r="N1" s="15">
        <v>44926</v>
      </c>
      <c r="O1" s="15">
        <v>45016</v>
      </c>
      <c r="P1" s="15">
        <v>45107</v>
      </c>
      <c r="Q1" s="15">
        <v>45199</v>
      </c>
      <c r="R1" s="15">
        <v>45291</v>
      </c>
      <c r="S1" s="15">
        <v>45382</v>
      </c>
      <c r="T1" s="15">
        <v>45473</v>
      </c>
      <c r="U1" s="15">
        <v>45565</v>
      </c>
      <c r="V1" s="15">
        <v>45657</v>
      </c>
      <c r="W1" s="15">
        <v>45747</v>
      </c>
    </row>
    <row r="2" spans="1:53" s="2" customFormat="1" x14ac:dyDescent="0.2">
      <c r="C2" s="2" t="s">
        <v>39</v>
      </c>
      <c r="D2" s="2" t="s">
        <v>40</v>
      </c>
      <c r="E2" s="2" t="s">
        <v>41</v>
      </c>
      <c r="F2" s="2" t="s">
        <v>42</v>
      </c>
      <c r="G2" s="2" t="s">
        <v>24</v>
      </c>
      <c r="H2" s="2" t="s">
        <v>25</v>
      </c>
      <c r="I2" s="2" t="s">
        <v>26</v>
      </c>
      <c r="J2" s="2" t="s">
        <v>27</v>
      </c>
      <c r="K2" s="2" t="s">
        <v>28</v>
      </c>
      <c r="L2" s="2" t="s">
        <v>29</v>
      </c>
      <c r="M2" s="2" t="s">
        <v>30</v>
      </c>
      <c r="N2" s="2" t="s">
        <v>31</v>
      </c>
      <c r="O2" s="2" t="s">
        <v>32</v>
      </c>
      <c r="P2" s="2" t="s">
        <v>33</v>
      </c>
      <c r="Q2" s="2" t="s">
        <v>34</v>
      </c>
      <c r="R2" s="2" t="s">
        <v>35</v>
      </c>
      <c r="S2" s="2" t="s">
        <v>6</v>
      </c>
      <c r="T2" s="2" t="s">
        <v>36</v>
      </c>
      <c r="U2" s="2" t="s">
        <v>37</v>
      </c>
      <c r="V2" s="2" t="s">
        <v>38</v>
      </c>
      <c r="W2" s="2" t="s">
        <v>107</v>
      </c>
      <c r="X2" s="2" t="s">
        <v>108</v>
      </c>
      <c r="Y2" s="2" t="s">
        <v>109</v>
      </c>
      <c r="Z2" s="2" t="s">
        <v>110</v>
      </c>
      <c r="AB2">
        <v>2014</v>
      </c>
      <c r="AC2" s="2">
        <f>+AB2+1</f>
        <v>2015</v>
      </c>
      <c r="AD2" s="2">
        <f t="shared" ref="AD2:AV2" si="0">+AC2+1</f>
        <v>2016</v>
      </c>
      <c r="AE2" s="2">
        <f t="shared" si="0"/>
        <v>2017</v>
      </c>
      <c r="AF2" s="2">
        <f t="shared" si="0"/>
        <v>2018</v>
      </c>
      <c r="AG2" s="2">
        <f t="shared" si="0"/>
        <v>2019</v>
      </c>
      <c r="AH2" s="2">
        <f t="shared" si="0"/>
        <v>2020</v>
      </c>
      <c r="AI2" s="2">
        <f t="shared" si="0"/>
        <v>2021</v>
      </c>
      <c r="AJ2" s="2">
        <f t="shared" si="0"/>
        <v>2022</v>
      </c>
      <c r="AK2" s="2">
        <f t="shared" si="0"/>
        <v>2023</v>
      </c>
      <c r="AL2" s="2">
        <f t="shared" si="0"/>
        <v>2024</v>
      </c>
      <c r="AM2" s="2">
        <f t="shared" si="0"/>
        <v>2025</v>
      </c>
      <c r="AN2" s="2">
        <f t="shared" si="0"/>
        <v>2026</v>
      </c>
      <c r="AO2" s="2">
        <f t="shared" si="0"/>
        <v>2027</v>
      </c>
      <c r="AP2" s="2">
        <f t="shared" si="0"/>
        <v>2028</v>
      </c>
      <c r="AQ2" s="2">
        <f t="shared" si="0"/>
        <v>2029</v>
      </c>
      <c r="AR2" s="2">
        <f t="shared" si="0"/>
        <v>2030</v>
      </c>
      <c r="AS2" s="2">
        <f t="shared" si="0"/>
        <v>2031</v>
      </c>
      <c r="AT2" s="2">
        <f t="shared" si="0"/>
        <v>2032</v>
      </c>
      <c r="AU2" s="2">
        <f t="shared" si="0"/>
        <v>2033</v>
      </c>
      <c r="AV2" s="2">
        <f t="shared" si="0"/>
        <v>2034</v>
      </c>
      <c r="AW2" s="2">
        <f t="shared" ref="AW2" si="1">+AV2+1</f>
        <v>2035</v>
      </c>
      <c r="AX2" s="2">
        <f t="shared" ref="AX2" si="2">+AW2+1</f>
        <v>2036</v>
      </c>
      <c r="AY2" s="2">
        <f t="shared" ref="AY2" si="3">+AX2+1</f>
        <v>2037</v>
      </c>
      <c r="AZ2" s="2">
        <f t="shared" ref="AZ2" si="4">+AY2+1</f>
        <v>2038</v>
      </c>
      <c r="BA2" s="2">
        <f t="shared" ref="BA2" si="5">+AZ2+1</f>
        <v>2039</v>
      </c>
    </row>
    <row r="3" spans="1:53" s="2" customFormat="1" x14ac:dyDescent="0.2">
      <c r="B3" s="11" t="s">
        <v>44</v>
      </c>
      <c r="H3" s="10">
        <f>+H10*0.39</f>
        <v>5182.71</v>
      </c>
      <c r="I3" s="10"/>
      <c r="J3" s="10">
        <f>+J10*0.37</f>
        <v>5822.32</v>
      </c>
      <c r="K3" s="10">
        <f>+K10*0.41</f>
        <v>7202.4699999999993</v>
      </c>
      <c r="L3" s="10">
        <f>+L10*0.43</f>
        <v>7807.94</v>
      </c>
      <c r="M3" s="10">
        <f>+M10*0.39</f>
        <v>7887.75</v>
      </c>
      <c r="N3" s="10">
        <f>+N10*0.42</f>
        <v>8371.02</v>
      </c>
      <c r="O3" s="10">
        <f>+O10*0.44</f>
        <v>7356.36</v>
      </c>
      <c r="P3" s="10">
        <f>+P10*0.44</f>
        <v>6897.88</v>
      </c>
      <c r="Q3" s="10">
        <f>+Q10*0.42</f>
        <v>7256.7599999999993</v>
      </c>
      <c r="R3" s="10">
        <f>+R10*0.43</f>
        <v>8438.32</v>
      </c>
      <c r="S3" s="10">
        <f>+S10*0.46</f>
        <v>8681.58</v>
      </c>
      <c r="T3" s="10">
        <f>+T10*0.46</f>
        <v>9578.1200000000008</v>
      </c>
      <c r="U3" s="10">
        <f>+U10*0.51</f>
        <v>11987.04</v>
      </c>
      <c r="V3" s="10">
        <f>+V10*0.53</f>
        <v>14248.52</v>
      </c>
      <c r="W3" s="10">
        <f>+W10*0.59</f>
        <v>15060.339999999998</v>
      </c>
      <c r="AB3"/>
    </row>
    <row r="4" spans="1:53" s="12" customFormat="1" x14ac:dyDescent="0.2">
      <c r="B4" s="11" t="s">
        <v>43</v>
      </c>
      <c r="H4" s="10">
        <f>+H10*0.42</f>
        <v>5581.38</v>
      </c>
      <c r="I4" s="10"/>
      <c r="J4" s="10">
        <f>+J10*0.44</f>
        <v>6923.84</v>
      </c>
      <c r="K4" s="10">
        <f>+K10*0.4</f>
        <v>7026.8</v>
      </c>
      <c r="L4" s="10">
        <f>+L10*0.38</f>
        <v>6900.04</v>
      </c>
      <c r="M4" s="10">
        <f>+M10*0.41</f>
        <v>8292.25</v>
      </c>
      <c r="N4" s="10">
        <f>+N10*0.38</f>
        <v>7573.78</v>
      </c>
      <c r="O4" s="10">
        <f>+O10*0.34</f>
        <v>5684.46</v>
      </c>
      <c r="P4" s="10">
        <f>+P10*0.33</f>
        <v>5173.41</v>
      </c>
      <c r="Q4" s="10">
        <f>+Q10*0.39</f>
        <v>6738.42</v>
      </c>
      <c r="R4" s="10">
        <f>+R10*0.43</f>
        <v>8438.32</v>
      </c>
      <c r="S4" s="10">
        <f>+S10*0.38</f>
        <v>7171.74</v>
      </c>
      <c r="T4" s="10">
        <f>+T10*0.38</f>
        <v>7912.36</v>
      </c>
      <c r="U4" s="10">
        <f>+U10*0.34</f>
        <v>7991.3600000000006</v>
      </c>
      <c r="V4" s="10">
        <f>+V10*0.35</f>
        <v>9409.4</v>
      </c>
      <c r="W4" s="10">
        <f>+W10*0.28</f>
        <v>7147.2800000000007</v>
      </c>
    </row>
    <row r="5" spans="1:53" s="10" customFormat="1" x14ac:dyDescent="0.2">
      <c r="B5" s="11" t="s">
        <v>45</v>
      </c>
      <c r="H5" s="10">
        <f>+H10*0.08</f>
        <v>1063.1200000000001</v>
      </c>
      <c r="J5" s="10">
        <f>+J10*0.09</f>
        <v>1416.24</v>
      </c>
      <c r="K5" s="10">
        <f>+K10*0.08</f>
        <v>1405.3600000000001</v>
      </c>
      <c r="L5" s="10">
        <f>+L10*0.08</f>
        <v>1452.64</v>
      </c>
      <c r="M5" s="10">
        <f>+M10*0.1</f>
        <v>2022.5</v>
      </c>
      <c r="N5" s="10">
        <f>+N10*0.08</f>
        <v>1594.48</v>
      </c>
      <c r="O5" s="10">
        <f>+O10*0.09</f>
        <v>1504.71</v>
      </c>
      <c r="P5" s="10">
        <f>+P10*0.08</f>
        <v>1254.1600000000001</v>
      </c>
      <c r="Q5" s="10">
        <f>+Q10*0.09</f>
        <v>1555.02</v>
      </c>
      <c r="R5" s="10">
        <f>+R10*0.05</f>
        <v>981.2</v>
      </c>
      <c r="S5" s="10">
        <f>+S10*0.06</f>
        <v>1132.3799999999999</v>
      </c>
      <c r="T5" s="10">
        <f>+T10*0.06</f>
        <v>1249.32</v>
      </c>
      <c r="U5" s="10">
        <f>+U10*0.07</f>
        <v>1645.2800000000002</v>
      </c>
      <c r="V5" s="10">
        <f>+V10*0.05</f>
        <v>1344.2</v>
      </c>
      <c r="W5" s="10">
        <f>+W10*0.05</f>
        <v>1276.3000000000002</v>
      </c>
    </row>
    <row r="6" spans="1:53" s="10" customFormat="1" x14ac:dyDescent="0.2">
      <c r="B6" s="11" t="s">
        <v>46</v>
      </c>
      <c r="H6" s="10">
        <f>+H10*0.04</f>
        <v>531.56000000000006</v>
      </c>
      <c r="J6" s="10">
        <f>+J10*0.04</f>
        <v>629.44000000000005</v>
      </c>
      <c r="K6" s="10">
        <f>+K10*0.05</f>
        <v>878.35</v>
      </c>
      <c r="L6" s="10">
        <f>+L10*0.05</f>
        <v>907.90000000000009</v>
      </c>
      <c r="M6" s="10">
        <f>+M10*0.05</f>
        <v>1011.25</v>
      </c>
      <c r="N6" s="10">
        <f>+N10*0.06</f>
        <v>1195.8599999999999</v>
      </c>
      <c r="O6" s="10">
        <f>+O10*0.07</f>
        <v>1170.3300000000002</v>
      </c>
      <c r="P6" s="10">
        <f>+P10*0.08</f>
        <v>1254.1600000000001</v>
      </c>
      <c r="Q6" s="10">
        <f>+Q10*0.05</f>
        <v>863.90000000000009</v>
      </c>
      <c r="R6" s="10">
        <f>+R10*0.05</f>
        <v>981.2</v>
      </c>
      <c r="S6" s="10">
        <f>+S10*0.06</f>
        <v>1132.3799999999999</v>
      </c>
      <c r="T6" s="10">
        <f>+T10*0.06</f>
        <v>1249.32</v>
      </c>
      <c r="U6" s="10">
        <f>+U10*0.05</f>
        <v>1175.2</v>
      </c>
      <c r="V6" s="10">
        <f>+V10*0.04</f>
        <v>1075.3600000000001</v>
      </c>
      <c r="W6" s="10">
        <f>+W10*0.05</f>
        <v>1276.3000000000002</v>
      </c>
    </row>
    <row r="7" spans="1:53" s="10" customFormat="1" x14ac:dyDescent="0.2">
      <c r="B7" s="11" t="s">
        <v>47</v>
      </c>
      <c r="H7" s="10">
        <f>+H10*0.04</f>
        <v>531.56000000000006</v>
      </c>
      <c r="J7" s="10">
        <f>+J10*0.03</f>
        <v>472.08</v>
      </c>
      <c r="K7" s="10">
        <f>+K10*0.03</f>
        <v>527.01</v>
      </c>
      <c r="L7" s="10">
        <f>+L10*0.03</f>
        <v>544.74</v>
      </c>
      <c r="M7" s="10">
        <f>+M10*0.02</f>
        <v>404.5</v>
      </c>
      <c r="N7" s="10">
        <f>+N10*0.02</f>
        <v>398.62</v>
      </c>
      <c r="O7" s="10">
        <f>+O10*0.02</f>
        <v>334.38</v>
      </c>
      <c r="P7" s="10">
        <f>+P10*0.03</f>
        <v>470.31</v>
      </c>
      <c r="Q7" s="10">
        <f>+Q10*0.02</f>
        <v>345.56</v>
      </c>
      <c r="R7" s="10">
        <f>+R10*0.02</f>
        <v>392.48</v>
      </c>
      <c r="S7" s="10">
        <f>+S10*0.02</f>
        <v>377.46</v>
      </c>
      <c r="T7" s="10">
        <f>+T10*0.02</f>
        <v>416.44</v>
      </c>
      <c r="U7" s="10">
        <f>+U10*0.01</f>
        <v>235.04</v>
      </c>
      <c r="V7" s="10">
        <f>+V10*0.01</f>
        <v>268.84000000000003</v>
      </c>
      <c r="W7" s="10">
        <f>+W10*0.01</f>
        <v>255.26000000000002</v>
      </c>
    </row>
    <row r="8" spans="1:53" s="10" customFormat="1" x14ac:dyDescent="0.2">
      <c r="B8" s="11" t="s">
        <v>48</v>
      </c>
      <c r="H8" s="10">
        <f>+H10*0.03</f>
        <v>398.66999999999996</v>
      </c>
      <c r="J8" s="10">
        <f>+J10*0.03</f>
        <v>472.08</v>
      </c>
      <c r="K8" s="10">
        <f>+K10*0.03</f>
        <v>527.01</v>
      </c>
      <c r="L8" s="10">
        <f>+L10*0.03</f>
        <v>544.74</v>
      </c>
      <c r="M8" s="10">
        <f>+M10*0.03</f>
        <v>606.75</v>
      </c>
      <c r="N8" s="10">
        <f>+N10*0.04</f>
        <v>797.24</v>
      </c>
      <c r="O8" s="10">
        <f>+O10*0.04</f>
        <v>668.76</v>
      </c>
      <c r="P8" s="10">
        <f>+P10*0.04</f>
        <v>627.08000000000004</v>
      </c>
      <c r="Q8" s="10">
        <f>+Q10*0.03</f>
        <v>518.34</v>
      </c>
      <c r="R8" s="10">
        <f>+R10*0.02</f>
        <v>392.48</v>
      </c>
      <c r="S8" s="10">
        <f>+S10*0.02</f>
        <v>377.46</v>
      </c>
      <c r="T8" s="10">
        <f>+T10*0.02</f>
        <v>416.44</v>
      </c>
      <c r="U8" s="10">
        <f>+U10*0.02</f>
        <v>470.08</v>
      </c>
      <c r="V8" s="10">
        <f>+V10*0.02</f>
        <v>537.68000000000006</v>
      </c>
      <c r="W8" s="10">
        <f>+W10*0.02</f>
        <v>510.52000000000004</v>
      </c>
    </row>
    <row r="9" spans="1:53" s="12" customFormat="1" x14ac:dyDescent="0.2">
      <c r="B9" s="13"/>
    </row>
    <row r="10" spans="1:53" s="7" customFormat="1" x14ac:dyDescent="0.2">
      <c r="A10" s="6"/>
      <c r="B10" s="6" t="s">
        <v>7</v>
      </c>
      <c r="C10" s="7">
        <v>12676</v>
      </c>
      <c r="D10" s="7">
        <v>10385</v>
      </c>
      <c r="E10" s="7">
        <v>12138</v>
      </c>
      <c r="F10" s="7">
        <v>12676</v>
      </c>
      <c r="G10" s="7">
        <v>12919</v>
      </c>
      <c r="H10" s="7">
        <v>13289</v>
      </c>
      <c r="I10" s="7">
        <v>14878</v>
      </c>
      <c r="J10" s="7">
        <v>15736</v>
      </c>
      <c r="K10" s="7">
        <v>17567</v>
      </c>
      <c r="L10" s="7">
        <v>18158</v>
      </c>
      <c r="M10" s="7">
        <v>20225</v>
      </c>
      <c r="N10" s="7">
        <v>19931</v>
      </c>
      <c r="O10" s="7">
        <v>16719</v>
      </c>
      <c r="P10" s="7">
        <v>15677</v>
      </c>
      <c r="Q10" s="7">
        <v>17278</v>
      </c>
      <c r="R10" s="7">
        <v>19624</v>
      </c>
      <c r="S10" s="7">
        <v>18873</v>
      </c>
      <c r="T10" s="7">
        <v>20822</v>
      </c>
      <c r="U10" s="7">
        <v>23504</v>
      </c>
      <c r="V10" s="7">
        <v>26884</v>
      </c>
      <c r="W10" s="7">
        <v>25526</v>
      </c>
      <c r="AA10" s="3">
        <f>+(AL10/AC10)^(1/10)-1</f>
        <v>0.1297083152775651</v>
      </c>
      <c r="AB10" s="7">
        <v>25173</v>
      </c>
      <c r="AC10" s="7">
        <v>26606</v>
      </c>
      <c r="AD10" s="7">
        <v>29434</v>
      </c>
      <c r="AE10" s="7">
        <v>32105</v>
      </c>
      <c r="AF10" s="7">
        <v>34196</v>
      </c>
      <c r="AG10" s="7">
        <v>34632</v>
      </c>
      <c r="AH10" s="7">
        <f>+SUM(C10:F10)</f>
        <v>47875</v>
      </c>
      <c r="AI10" s="7">
        <f>+SUM(G10:J10)</f>
        <v>56822</v>
      </c>
      <c r="AJ10" s="7">
        <f>+SUM(K10:N10)</f>
        <v>75881</v>
      </c>
      <c r="AK10" s="7">
        <f>+SUM(O10:R10)</f>
        <v>69298</v>
      </c>
      <c r="AL10" s="7">
        <f>+SUM(S10:V10)</f>
        <v>90083</v>
      </c>
      <c r="AM10" s="7">
        <f>+AL10*1.13</f>
        <v>101793.79</v>
      </c>
      <c r="AN10" s="7">
        <f t="shared" ref="AN10:AQ10" si="6">+AM10*1.13</f>
        <v>115026.98269999998</v>
      </c>
      <c r="AO10" s="7">
        <f t="shared" si="6"/>
        <v>129980.49045099996</v>
      </c>
      <c r="AP10" s="7">
        <f t="shared" si="6"/>
        <v>146877.95420962994</v>
      </c>
      <c r="AQ10" s="7">
        <f t="shared" si="6"/>
        <v>165972.08825688181</v>
      </c>
      <c r="AR10" s="7">
        <f>+AQ10*1.1</f>
        <v>182569.29708257</v>
      </c>
      <c r="AS10" s="7">
        <f t="shared" ref="AS10:AV10" si="7">+AR10*1.1</f>
        <v>200826.22679082703</v>
      </c>
      <c r="AT10" s="7">
        <f t="shared" si="7"/>
        <v>220908.84946990976</v>
      </c>
      <c r="AU10" s="7">
        <f t="shared" si="7"/>
        <v>242999.73441690076</v>
      </c>
      <c r="AV10" s="7">
        <f t="shared" si="7"/>
        <v>267299.70785859087</v>
      </c>
      <c r="AW10" s="7">
        <f>+AV10*1.08</f>
        <v>288683.68448727817</v>
      </c>
      <c r="AX10" s="7">
        <f t="shared" ref="AX10:BA10" si="8">+AW10*1.08</f>
        <v>311778.37924626045</v>
      </c>
      <c r="AY10" s="7">
        <f t="shared" si="8"/>
        <v>336720.64958596131</v>
      </c>
      <c r="AZ10" s="7">
        <f t="shared" si="8"/>
        <v>363658.30155283824</v>
      </c>
      <c r="BA10" s="7">
        <f t="shared" si="8"/>
        <v>392750.96567706531</v>
      </c>
    </row>
    <row r="11" spans="1:53" x14ac:dyDescent="0.2">
      <c r="B11" t="s">
        <v>8</v>
      </c>
      <c r="C11" s="1">
        <v>5831</v>
      </c>
      <c r="D11" s="1">
        <v>4883</v>
      </c>
      <c r="E11" s="1">
        <v>5651</v>
      </c>
      <c r="F11" s="1">
        <v>5831</v>
      </c>
      <c r="G11" s="1">
        <v>6152</v>
      </c>
      <c r="H11" s="1">
        <v>6640</v>
      </c>
      <c r="I11" s="1">
        <v>7245</v>
      </c>
      <c r="J11" s="1">
        <v>7449</v>
      </c>
      <c r="K11" s="1">
        <v>7794</v>
      </c>
      <c r="L11" s="1">
        <v>7434</v>
      </c>
      <c r="M11" s="1">
        <v>8004</v>
      </c>
      <c r="N11" s="1">
        <v>7531</v>
      </c>
      <c r="O11" s="1">
        <v>7302</v>
      </c>
      <c r="P11" s="1">
        <v>7194</v>
      </c>
      <c r="Q11" s="1">
        <v>7903</v>
      </c>
      <c r="R11" s="1">
        <v>9216</v>
      </c>
      <c r="S11" s="1">
        <v>8858</v>
      </c>
      <c r="T11" s="1">
        <v>9750</v>
      </c>
      <c r="U11" s="1">
        <v>9911</v>
      </c>
      <c r="V11" s="1">
        <v>11023</v>
      </c>
      <c r="W11" s="1">
        <v>10519</v>
      </c>
      <c r="AA11" s="3">
        <f>+(AL11/AC11)^(1/10)-1</f>
        <v>0.11209026103666919</v>
      </c>
      <c r="AB11" s="1">
        <v>12708</v>
      </c>
      <c r="AC11" s="1">
        <v>13661</v>
      </c>
      <c r="AD11" s="1">
        <v>14690</v>
      </c>
      <c r="AE11" s="1">
        <v>15852</v>
      </c>
      <c r="AF11" s="1">
        <v>17690</v>
      </c>
      <c r="AG11" s="1">
        <v>18684</v>
      </c>
      <c r="AH11" s="1">
        <f>+SUM(C11:F11)</f>
        <v>22196</v>
      </c>
      <c r="AI11" s="1">
        <f>+SUM(G11:J11)</f>
        <v>27486</v>
      </c>
      <c r="AJ11" s="1">
        <f>+SUM(K11:N11)</f>
        <v>30763</v>
      </c>
      <c r="AK11" s="1">
        <f>+SUM(O11:R11)</f>
        <v>31615</v>
      </c>
      <c r="AL11" s="1">
        <v>39526</v>
      </c>
      <c r="AM11" s="1">
        <f>+AL11*1.11</f>
        <v>43873.86</v>
      </c>
      <c r="AN11" s="1">
        <f t="shared" ref="AN11:AQ11" si="9">+AM11*1.11</f>
        <v>48699.984600000003</v>
      </c>
      <c r="AO11" s="1">
        <f t="shared" si="9"/>
        <v>54056.982906000012</v>
      </c>
      <c r="AP11" s="1">
        <f t="shared" si="9"/>
        <v>60003.251025660022</v>
      </c>
      <c r="AQ11" s="1">
        <f t="shared" si="9"/>
        <v>66603.608638482634</v>
      </c>
      <c r="AR11" s="1">
        <f>+AQ11*1.09</f>
        <v>72597.93341594607</v>
      </c>
      <c r="AS11" s="1">
        <f t="shared" ref="AS11:AV11" si="10">+AR11*1.09</f>
        <v>79131.747423381225</v>
      </c>
      <c r="AT11" s="1">
        <f t="shared" si="10"/>
        <v>86253.60469148554</v>
      </c>
      <c r="AU11" s="1">
        <f t="shared" si="10"/>
        <v>94016.429113719249</v>
      </c>
      <c r="AV11" s="1">
        <f t="shared" si="10"/>
        <v>102477.90773395399</v>
      </c>
      <c r="AW11" s="1">
        <f>+AV11*1.07</f>
        <v>109651.36127533078</v>
      </c>
      <c r="AX11" s="1">
        <f t="shared" ref="AX11:BA11" si="11">+AW11*1.07</f>
        <v>117326.95656460394</v>
      </c>
      <c r="AY11" s="1">
        <f t="shared" si="11"/>
        <v>125539.84352412622</v>
      </c>
      <c r="AZ11" s="1">
        <f t="shared" si="11"/>
        <v>134327.63257081507</v>
      </c>
      <c r="BA11" s="1">
        <f t="shared" si="11"/>
        <v>143730.56685077213</v>
      </c>
    </row>
    <row r="12" spans="1:53" s="7" customFormat="1" x14ac:dyDescent="0.2">
      <c r="A12" s="6"/>
      <c r="B12" s="6" t="s">
        <v>9</v>
      </c>
      <c r="C12" s="7">
        <f t="shared" ref="C12:S12" si="12">+C10-C11</f>
        <v>6845</v>
      </c>
      <c r="D12" s="7">
        <f t="shared" si="12"/>
        <v>5502</v>
      </c>
      <c r="E12" s="7">
        <f t="shared" si="12"/>
        <v>6487</v>
      </c>
      <c r="F12" s="7">
        <f t="shared" si="12"/>
        <v>6845</v>
      </c>
      <c r="G12" s="7">
        <f t="shared" si="12"/>
        <v>6767</v>
      </c>
      <c r="H12" s="7">
        <f t="shared" si="12"/>
        <v>6649</v>
      </c>
      <c r="I12" s="7">
        <f t="shared" si="12"/>
        <v>7633</v>
      </c>
      <c r="J12" s="7">
        <f t="shared" si="12"/>
        <v>8287</v>
      </c>
      <c r="K12" s="7">
        <f t="shared" si="12"/>
        <v>9773</v>
      </c>
      <c r="L12" s="7">
        <f t="shared" si="12"/>
        <v>10724</v>
      </c>
      <c r="M12" s="7">
        <f t="shared" si="12"/>
        <v>12221</v>
      </c>
      <c r="N12" s="7">
        <f t="shared" si="12"/>
        <v>12400</v>
      </c>
      <c r="O12" s="7">
        <f t="shared" si="12"/>
        <v>9417</v>
      </c>
      <c r="P12" s="7">
        <f t="shared" si="12"/>
        <v>8483</v>
      </c>
      <c r="Q12" s="7">
        <f t="shared" si="12"/>
        <v>9375</v>
      </c>
      <c r="R12" s="7">
        <f t="shared" si="12"/>
        <v>10408</v>
      </c>
      <c r="S12" s="7">
        <f t="shared" si="12"/>
        <v>10015</v>
      </c>
      <c r="T12" s="7">
        <f t="shared" ref="T12:W12" si="13">+T10-T11</f>
        <v>11072</v>
      </c>
      <c r="U12" s="7">
        <f t="shared" si="13"/>
        <v>13593</v>
      </c>
      <c r="V12" s="7">
        <f t="shared" si="13"/>
        <v>15861</v>
      </c>
      <c r="W12" s="7">
        <f t="shared" si="13"/>
        <v>15007</v>
      </c>
      <c r="AB12" s="7">
        <f t="shared" ref="AB12:AK12" si="14">+AB10-AB11</f>
        <v>12465</v>
      </c>
      <c r="AC12" s="7">
        <f t="shared" si="14"/>
        <v>12945</v>
      </c>
      <c r="AD12" s="7">
        <f t="shared" si="14"/>
        <v>14744</v>
      </c>
      <c r="AE12" s="7">
        <f t="shared" si="14"/>
        <v>16253</v>
      </c>
      <c r="AF12" s="7">
        <f t="shared" si="14"/>
        <v>16506</v>
      </c>
      <c r="AG12" s="7">
        <f t="shared" si="14"/>
        <v>15948</v>
      </c>
      <c r="AH12" s="7">
        <f t="shared" si="14"/>
        <v>25679</v>
      </c>
      <c r="AI12" s="7">
        <f t="shared" si="14"/>
        <v>29336</v>
      </c>
      <c r="AJ12" s="7">
        <f t="shared" si="14"/>
        <v>45118</v>
      </c>
      <c r="AK12" s="7">
        <f t="shared" si="14"/>
        <v>37683</v>
      </c>
      <c r="AL12" s="7">
        <f>+SUM(S12:V12)</f>
        <v>50541</v>
      </c>
      <c r="AM12" s="7">
        <f>+AM10-AM11</f>
        <v>57919.929999999993</v>
      </c>
      <c r="AN12" s="7">
        <f t="shared" ref="AN12:BA12" si="15">+AN10-AN11</f>
        <v>66326.998099999968</v>
      </c>
      <c r="AO12" s="7">
        <f t="shared" si="15"/>
        <v>75923.507544999942</v>
      </c>
      <c r="AP12" s="7">
        <f t="shared" si="15"/>
        <v>86874.703183969919</v>
      </c>
      <c r="AQ12" s="7">
        <f t="shared" si="15"/>
        <v>99368.479618399171</v>
      </c>
      <c r="AR12" s="7">
        <f t="shared" si="15"/>
        <v>109971.36366662393</v>
      </c>
      <c r="AS12" s="7">
        <f t="shared" si="15"/>
        <v>121694.47936744581</v>
      </c>
      <c r="AT12" s="7">
        <f t="shared" si="15"/>
        <v>134655.24477842421</v>
      </c>
      <c r="AU12" s="7">
        <f t="shared" si="15"/>
        <v>148983.30530318152</v>
      </c>
      <c r="AV12" s="7">
        <f t="shared" si="15"/>
        <v>164821.80012463688</v>
      </c>
      <c r="AW12" s="7">
        <f t="shared" si="15"/>
        <v>179032.3232119474</v>
      </c>
      <c r="AX12" s="7">
        <f t="shared" si="15"/>
        <v>194451.42268165649</v>
      </c>
      <c r="AY12" s="7">
        <f t="shared" si="15"/>
        <v>211180.80606183509</v>
      </c>
      <c r="AZ12" s="7">
        <f t="shared" si="15"/>
        <v>229330.66898202317</v>
      </c>
      <c r="BA12" s="7">
        <f t="shared" si="15"/>
        <v>249020.39882629318</v>
      </c>
    </row>
    <row r="13" spans="1:53" x14ac:dyDescent="0.2">
      <c r="B13" t="s">
        <v>10</v>
      </c>
      <c r="C13" s="1">
        <v>1049</v>
      </c>
      <c r="D13" s="1">
        <v>831</v>
      </c>
      <c r="E13" s="1">
        <v>1011</v>
      </c>
      <c r="F13" s="1">
        <v>1049</v>
      </c>
      <c r="G13" s="1">
        <v>1096</v>
      </c>
      <c r="H13" s="1">
        <v>1103</v>
      </c>
      <c r="I13" s="1">
        <v>1107</v>
      </c>
      <c r="J13" s="1">
        <v>1158</v>
      </c>
      <c r="K13" s="1">
        <v>1290</v>
      </c>
      <c r="L13" s="1">
        <v>1348</v>
      </c>
      <c r="M13" s="1">
        <v>1417</v>
      </c>
      <c r="N13" s="1">
        <v>1421</v>
      </c>
      <c r="O13" s="1">
        <v>1287</v>
      </c>
      <c r="P13" s="1">
        <v>1358</v>
      </c>
      <c r="Q13" s="1">
        <v>1616</v>
      </c>
      <c r="R13" s="1">
        <v>1582</v>
      </c>
      <c r="S13" s="1">
        <v>1468</v>
      </c>
      <c r="T13" s="1">
        <v>1486</v>
      </c>
      <c r="U13" s="1">
        <v>1633</v>
      </c>
      <c r="V13" s="1">
        <v>1772</v>
      </c>
      <c r="W13" s="1">
        <v>1720</v>
      </c>
      <c r="AA13" s="3">
        <f>+(AL13/AC13)^(1/10)-1</f>
        <v>0.11893493856389004</v>
      </c>
      <c r="AB13" s="1">
        <v>1875</v>
      </c>
      <c r="AC13" s="1">
        <v>2067</v>
      </c>
      <c r="AD13" s="1">
        <v>2211</v>
      </c>
      <c r="AE13" s="1">
        <v>2652</v>
      </c>
      <c r="AF13" s="1">
        <v>2848</v>
      </c>
      <c r="AG13" s="1">
        <v>2959</v>
      </c>
      <c r="AH13" s="1">
        <f>+SUM(C13:F13)</f>
        <v>3940</v>
      </c>
      <c r="AI13" s="1">
        <f>+SUM(G13:J13)</f>
        <v>4464</v>
      </c>
      <c r="AJ13" s="1">
        <f>+SUM(K13:N13)</f>
        <v>5476</v>
      </c>
      <c r="AK13" s="1">
        <f>+SUM(O13:R13)</f>
        <v>5843</v>
      </c>
      <c r="AL13" s="1">
        <f t="shared" ref="AL13:AL14" si="16">+SUM(S13:V13)</f>
        <v>6359</v>
      </c>
      <c r="AM13" s="1">
        <f>+AL13*1.12</f>
        <v>7122.0800000000008</v>
      </c>
      <c r="AN13" s="1">
        <f t="shared" ref="AN13:AQ13" si="17">+AM13*1.12</f>
        <v>7976.7296000000015</v>
      </c>
      <c r="AO13" s="1">
        <f t="shared" si="17"/>
        <v>8933.9371520000022</v>
      </c>
      <c r="AP13" s="1">
        <f t="shared" si="17"/>
        <v>10006.009610240004</v>
      </c>
      <c r="AQ13" s="1">
        <f t="shared" si="17"/>
        <v>11206.730763468806</v>
      </c>
      <c r="AR13" s="1">
        <f t="shared" ref="AR13:BA13" si="18">+AQ13*1.12</f>
        <v>12551.538455085063</v>
      </c>
      <c r="AS13" s="1">
        <f t="shared" si="18"/>
        <v>14057.723069695272</v>
      </c>
      <c r="AT13" s="1">
        <f t="shared" si="18"/>
        <v>15744.649838058705</v>
      </c>
      <c r="AU13" s="1">
        <f t="shared" si="18"/>
        <v>17634.007818625752</v>
      </c>
      <c r="AV13" s="1">
        <f t="shared" si="18"/>
        <v>19750.088756860845</v>
      </c>
      <c r="AW13" s="1">
        <f t="shared" si="18"/>
        <v>22120.099407684149</v>
      </c>
      <c r="AX13" s="1">
        <f t="shared" si="18"/>
        <v>24774.511336606251</v>
      </c>
      <c r="AY13" s="1">
        <f t="shared" si="18"/>
        <v>27747.452696999004</v>
      </c>
      <c r="AZ13" s="1">
        <f t="shared" si="18"/>
        <v>31077.147020638888</v>
      </c>
      <c r="BA13" s="1">
        <f t="shared" si="18"/>
        <v>34806.404663115558</v>
      </c>
    </row>
    <row r="14" spans="1:53" x14ac:dyDescent="0.2">
      <c r="B14" t="s">
        <v>11</v>
      </c>
      <c r="C14" s="1">
        <v>294</v>
      </c>
      <c r="D14" s="1">
        <v>288</v>
      </c>
      <c r="E14" s="1">
        <v>381</v>
      </c>
      <c r="F14" s="1">
        <v>294</v>
      </c>
      <c r="G14" s="1">
        <v>298</v>
      </c>
      <c r="H14" s="1">
        <v>347</v>
      </c>
      <c r="I14" s="1">
        <v>387</v>
      </c>
      <c r="J14" s="1">
        <v>561</v>
      </c>
      <c r="K14" s="1">
        <v>449</v>
      </c>
      <c r="L14" s="1">
        <v>466</v>
      </c>
      <c r="M14" s="1">
        <v>568</v>
      </c>
      <c r="N14" s="1">
        <v>635</v>
      </c>
      <c r="O14" s="1">
        <v>3531</v>
      </c>
      <c r="P14" s="1">
        <v>539</v>
      </c>
      <c r="Q14" s="1">
        <v>556</v>
      </c>
      <c r="R14" s="1">
        <v>665</v>
      </c>
      <c r="S14" s="1">
        <v>613</v>
      </c>
      <c r="T14" s="1">
        <v>688</v>
      </c>
      <c r="U14" s="1">
        <v>814</v>
      </c>
      <c r="V14" s="1">
        <v>901</v>
      </c>
      <c r="W14" s="1">
        <v>871</v>
      </c>
      <c r="AA14" s="3">
        <f>+(AL14/AC14)^(1/10)-1</f>
        <v>0.15353108962621365</v>
      </c>
      <c r="AB14" s="1">
        <v>793</v>
      </c>
      <c r="AC14" s="1">
        <v>723</v>
      </c>
      <c r="AD14" s="1">
        <v>798</v>
      </c>
      <c r="AE14" s="1">
        <v>892</v>
      </c>
      <c r="AF14" s="1">
        <v>870</v>
      </c>
      <c r="AG14" s="1">
        <v>910</v>
      </c>
      <c r="AH14" s="1">
        <f>+SUM(C14:F14)</f>
        <v>1257</v>
      </c>
      <c r="AI14" s="1">
        <f>+SUM(G14:J14)</f>
        <v>1593</v>
      </c>
      <c r="AJ14" s="1">
        <f>+SUM(K14:N14)</f>
        <v>2118</v>
      </c>
      <c r="AK14" s="1">
        <f>+SUM(O14:R14)</f>
        <v>5291</v>
      </c>
      <c r="AL14" s="1">
        <f t="shared" si="16"/>
        <v>3016</v>
      </c>
      <c r="AM14" s="1">
        <f>+AL14*1.15</f>
        <v>3468.3999999999996</v>
      </c>
      <c r="AN14" s="1">
        <f t="shared" ref="AN14:AQ14" si="19">+AM14*1.15</f>
        <v>3988.6599999999994</v>
      </c>
      <c r="AO14" s="1">
        <f t="shared" si="19"/>
        <v>4586.9589999999989</v>
      </c>
      <c r="AP14" s="1">
        <f t="shared" si="19"/>
        <v>5275.002849999998</v>
      </c>
      <c r="AQ14" s="1">
        <f t="shared" si="19"/>
        <v>6066.2532774999972</v>
      </c>
      <c r="AR14" s="1">
        <f t="shared" ref="AR14:BA14" si="20">+AQ14*1.15</f>
        <v>6976.1912691249963</v>
      </c>
      <c r="AS14" s="1">
        <f t="shared" si="20"/>
        <v>8022.6199594937452</v>
      </c>
      <c r="AT14" s="1">
        <f t="shared" si="20"/>
        <v>9226.0129534178068</v>
      </c>
      <c r="AU14" s="1">
        <f t="shared" si="20"/>
        <v>10609.914896430477</v>
      </c>
      <c r="AV14" s="1">
        <f t="shared" si="20"/>
        <v>12201.402130895047</v>
      </c>
      <c r="AW14" s="1">
        <f t="shared" si="20"/>
        <v>14031.612450529303</v>
      </c>
      <c r="AX14" s="1">
        <f t="shared" si="20"/>
        <v>16136.354318108697</v>
      </c>
      <c r="AY14" s="1">
        <f t="shared" si="20"/>
        <v>18556.807465825001</v>
      </c>
      <c r="AZ14" s="1">
        <f t="shared" si="20"/>
        <v>21340.32858569875</v>
      </c>
      <c r="BA14" s="1">
        <f t="shared" si="20"/>
        <v>24541.37787355356</v>
      </c>
    </row>
    <row r="15" spans="1:53" x14ac:dyDescent="0.2">
      <c r="B15" t="s">
        <v>12</v>
      </c>
      <c r="C15" s="1">
        <f t="shared" ref="C15:S15" si="21">+SUM(C13:C14)</f>
        <v>1343</v>
      </c>
      <c r="D15" s="1">
        <f t="shared" si="21"/>
        <v>1119</v>
      </c>
      <c r="E15" s="1">
        <f t="shared" si="21"/>
        <v>1392</v>
      </c>
      <c r="F15" s="1">
        <f t="shared" si="21"/>
        <v>1343</v>
      </c>
      <c r="G15" s="1">
        <f t="shared" si="21"/>
        <v>1394</v>
      </c>
      <c r="H15" s="1">
        <f t="shared" si="21"/>
        <v>1450</v>
      </c>
      <c r="I15" s="1">
        <f t="shared" si="21"/>
        <v>1494</v>
      </c>
      <c r="J15" s="1">
        <f t="shared" si="21"/>
        <v>1719</v>
      </c>
      <c r="K15" s="1">
        <f t="shared" si="21"/>
        <v>1739</v>
      </c>
      <c r="L15" s="1">
        <f t="shared" si="21"/>
        <v>1814</v>
      </c>
      <c r="M15" s="1">
        <f t="shared" si="21"/>
        <v>1985</v>
      </c>
      <c r="N15" s="1">
        <f t="shared" si="21"/>
        <v>2056</v>
      </c>
      <c r="O15" s="1">
        <f t="shared" si="21"/>
        <v>4818</v>
      </c>
      <c r="P15" s="1">
        <f t="shared" si="21"/>
        <v>1897</v>
      </c>
      <c r="Q15" s="1">
        <f t="shared" si="21"/>
        <v>2172</v>
      </c>
      <c r="R15" s="1">
        <f t="shared" si="21"/>
        <v>2247</v>
      </c>
      <c r="S15" s="1">
        <f t="shared" si="21"/>
        <v>2081</v>
      </c>
      <c r="T15" s="1">
        <f t="shared" ref="T15:V15" si="22">+SUM(T13:T14)</f>
        <v>2174</v>
      </c>
      <c r="U15" s="1">
        <f t="shared" si="22"/>
        <v>2447</v>
      </c>
      <c r="V15" s="1">
        <f t="shared" si="22"/>
        <v>2673</v>
      </c>
      <c r="W15" s="1">
        <f t="shared" ref="W15" si="23">+SUM(W13:W14)</f>
        <v>2591</v>
      </c>
      <c r="AB15" s="1">
        <f t="shared" ref="AB15:AL15" si="24">+SUM(AB13:AB14)</f>
        <v>2668</v>
      </c>
      <c r="AC15" s="1">
        <f t="shared" si="24"/>
        <v>2790</v>
      </c>
      <c r="AD15" s="1">
        <f t="shared" si="24"/>
        <v>3009</v>
      </c>
      <c r="AE15" s="1">
        <f t="shared" si="24"/>
        <v>3544</v>
      </c>
      <c r="AF15" s="1">
        <f t="shared" si="24"/>
        <v>3718</v>
      </c>
      <c r="AG15" s="1">
        <f t="shared" si="24"/>
        <v>3869</v>
      </c>
      <c r="AH15" s="1">
        <f t="shared" si="24"/>
        <v>5197</v>
      </c>
      <c r="AI15" s="1">
        <f t="shared" si="24"/>
        <v>6057</v>
      </c>
      <c r="AJ15" s="1">
        <f t="shared" si="24"/>
        <v>7594</v>
      </c>
      <c r="AK15" s="1">
        <f t="shared" si="24"/>
        <v>11134</v>
      </c>
      <c r="AL15" s="1">
        <f t="shared" si="24"/>
        <v>9375</v>
      </c>
      <c r="AM15" s="1">
        <f t="shared" ref="AM15:BA15" si="25">+SUM(AM13:AM14)</f>
        <v>10590.48</v>
      </c>
      <c r="AN15" s="1">
        <f t="shared" si="25"/>
        <v>11965.3896</v>
      </c>
      <c r="AO15" s="1">
        <f t="shared" si="25"/>
        <v>13520.896152000001</v>
      </c>
      <c r="AP15" s="1">
        <f t="shared" si="25"/>
        <v>15281.012460240003</v>
      </c>
      <c r="AQ15" s="1">
        <f t="shared" si="25"/>
        <v>17272.984040968804</v>
      </c>
      <c r="AR15" s="1">
        <f t="shared" si="25"/>
        <v>19527.729724210061</v>
      </c>
      <c r="AS15" s="1">
        <f t="shared" si="25"/>
        <v>22080.343029189018</v>
      </c>
      <c r="AT15" s="1">
        <f t="shared" si="25"/>
        <v>24970.662791476512</v>
      </c>
      <c r="AU15" s="1">
        <f t="shared" si="25"/>
        <v>28243.922715056229</v>
      </c>
      <c r="AV15" s="1">
        <f t="shared" si="25"/>
        <v>31951.490887755892</v>
      </c>
      <c r="AW15" s="1">
        <f t="shared" si="25"/>
        <v>36151.71185821345</v>
      </c>
      <c r="AX15" s="1">
        <f t="shared" si="25"/>
        <v>40910.865654714944</v>
      </c>
      <c r="AY15" s="1">
        <f t="shared" si="25"/>
        <v>46304.260162824008</v>
      </c>
      <c r="AZ15" s="1">
        <f t="shared" si="25"/>
        <v>52417.475606337641</v>
      </c>
      <c r="BA15" s="1">
        <f t="shared" si="25"/>
        <v>59347.782536669118</v>
      </c>
    </row>
    <row r="16" spans="1:53" s="7" customFormat="1" x14ac:dyDescent="0.2">
      <c r="A16" s="6"/>
      <c r="B16" s="6" t="s">
        <v>13</v>
      </c>
      <c r="C16" s="7">
        <f t="shared" ref="C16:U16" si="26">+C12-C15</f>
        <v>5502</v>
      </c>
      <c r="D16" s="7">
        <f t="shared" si="26"/>
        <v>4383</v>
      </c>
      <c r="E16" s="7">
        <f t="shared" si="26"/>
        <v>5095</v>
      </c>
      <c r="F16" s="7">
        <f t="shared" si="26"/>
        <v>5502</v>
      </c>
      <c r="G16" s="7">
        <f t="shared" si="26"/>
        <v>5373</v>
      </c>
      <c r="H16" s="7">
        <f t="shared" si="26"/>
        <v>5199</v>
      </c>
      <c r="I16" s="7">
        <f t="shared" si="26"/>
        <v>6139</v>
      </c>
      <c r="J16" s="7">
        <f t="shared" si="26"/>
        <v>6568</v>
      </c>
      <c r="K16" s="7">
        <f t="shared" si="26"/>
        <v>8034</v>
      </c>
      <c r="L16" s="7">
        <f t="shared" si="26"/>
        <v>8910</v>
      </c>
      <c r="M16" s="7">
        <f t="shared" si="26"/>
        <v>10236</v>
      </c>
      <c r="N16" s="7">
        <f t="shared" si="26"/>
        <v>10344</v>
      </c>
      <c r="O16" s="7">
        <f t="shared" si="26"/>
        <v>4599</v>
      </c>
      <c r="P16" s="7">
        <f t="shared" si="26"/>
        <v>6586</v>
      </c>
      <c r="Q16" s="7">
        <f t="shared" si="26"/>
        <v>7203</v>
      </c>
      <c r="R16" s="7">
        <f t="shared" si="26"/>
        <v>8161</v>
      </c>
      <c r="S16" s="7">
        <f t="shared" si="26"/>
        <v>7934</v>
      </c>
      <c r="T16" s="7">
        <f t="shared" si="26"/>
        <v>8898</v>
      </c>
      <c r="U16" s="7">
        <f t="shared" si="26"/>
        <v>11146</v>
      </c>
      <c r="V16" s="7">
        <f>+V25*V10</f>
        <v>13038.74</v>
      </c>
      <c r="W16" s="7">
        <f>+W25*W10</f>
        <v>12380.109999999999</v>
      </c>
      <c r="AB16" s="7">
        <f t="shared" ref="AB16:AK16" si="27">+AB12-AB15</f>
        <v>9797</v>
      </c>
      <c r="AC16" s="7">
        <f t="shared" si="27"/>
        <v>10155</v>
      </c>
      <c r="AD16" s="7">
        <f t="shared" si="27"/>
        <v>11735</v>
      </c>
      <c r="AE16" s="7">
        <f t="shared" si="27"/>
        <v>12709</v>
      </c>
      <c r="AF16" s="7">
        <f t="shared" si="27"/>
        <v>12788</v>
      </c>
      <c r="AG16" s="7">
        <f t="shared" si="27"/>
        <v>12079</v>
      </c>
      <c r="AH16" s="7">
        <f t="shared" si="27"/>
        <v>20482</v>
      </c>
      <c r="AI16" s="7">
        <f t="shared" si="27"/>
        <v>23279</v>
      </c>
      <c r="AJ16" s="7">
        <f t="shared" si="27"/>
        <v>37524</v>
      </c>
      <c r="AK16" s="7">
        <f t="shared" si="27"/>
        <v>26549</v>
      </c>
      <c r="AL16" s="7">
        <f>+SUM(S16:V16)</f>
        <v>41016.74</v>
      </c>
      <c r="AM16" s="7">
        <f>+AM12-AM15</f>
        <v>47329.45</v>
      </c>
      <c r="AN16" s="7">
        <f t="shared" ref="AN16:BA16" si="28">+AN12-AN15</f>
        <v>54361.608499999966</v>
      </c>
      <c r="AO16" s="7">
        <f t="shared" si="28"/>
        <v>62402.611392999941</v>
      </c>
      <c r="AP16" s="7">
        <f t="shared" si="28"/>
        <v>71593.690723729916</v>
      </c>
      <c r="AQ16" s="7">
        <f t="shared" si="28"/>
        <v>82095.495577430367</v>
      </c>
      <c r="AR16" s="7">
        <f t="shared" si="28"/>
        <v>90443.633942413871</v>
      </c>
      <c r="AS16" s="7">
        <f t="shared" si="28"/>
        <v>99614.136338256794</v>
      </c>
      <c r="AT16" s="7">
        <f t="shared" si="28"/>
        <v>109684.5819869477</v>
      </c>
      <c r="AU16" s="7">
        <f t="shared" si="28"/>
        <v>120739.3825881253</v>
      </c>
      <c r="AV16" s="7">
        <f t="shared" si="28"/>
        <v>132870.30923688097</v>
      </c>
      <c r="AW16" s="7">
        <f t="shared" si="28"/>
        <v>142880.61135373396</v>
      </c>
      <c r="AX16" s="7">
        <f t="shared" si="28"/>
        <v>153540.55702694156</v>
      </c>
      <c r="AY16" s="7">
        <f t="shared" si="28"/>
        <v>164876.54589901108</v>
      </c>
      <c r="AZ16" s="7">
        <f t="shared" si="28"/>
        <v>176913.19337568554</v>
      </c>
      <c r="BA16" s="7">
        <f t="shared" si="28"/>
        <v>189672.61628962407</v>
      </c>
    </row>
    <row r="17" spans="1:154" x14ac:dyDescent="0.2">
      <c r="B17" t="s">
        <v>14</v>
      </c>
      <c r="C17" s="1">
        <v>31</v>
      </c>
      <c r="D17" s="1">
        <v>69</v>
      </c>
      <c r="E17" s="1">
        <v>52</v>
      </c>
      <c r="F17" s="1">
        <v>31</v>
      </c>
      <c r="G17" s="1">
        <v>25</v>
      </c>
      <c r="H17" s="1">
        <v>10</v>
      </c>
      <c r="I17" s="1">
        <v>1</v>
      </c>
      <c r="J17" s="1">
        <v>-26</v>
      </c>
      <c r="K17" s="1">
        <v>-17</v>
      </c>
      <c r="L17" s="1">
        <v>22</v>
      </c>
      <c r="M17" s="1">
        <v>107</v>
      </c>
      <c r="N17" s="1">
        <v>231</v>
      </c>
      <c r="O17" s="1">
        <v>350</v>
      </c>
      <c r="P17" s="1">
        <v>348</v>
      </c>
      <c r="Q17" s="1">
        <v>395</v>
      </c>
      <c r="R17" s="1">
        <v>455</v>
      </c>
      <c r="S17" s="1">
        <v>531</v>
      </c>
      <c r="T17" s="1">
        <v>567</v>
      </c>
      <c r="U17" s="1">
        <v>618</v>
      </c>
      <c r="V17" s="1">
        <v>673</v>
      </c>
      <c r="W17" s="1">
        <v>675</v>
      </c>
      <c r="AA17" s="5"/>
      <c r="AB17" s="1">
        <v>-107</v>
      </c>
      <c r="AC17" s="1">
        <v>-100</v>
      </c>
      <c r="AD17" s="1">
        <v>-103</v>
      </c>
      <c r="AE17" s="1">
        <v>201</v>
      </c>
      <c r="AF17" s="1">
        <v>386</v>
      </c>
      <c r="AG17" s="1">
        <v>419</v>
      </c>
      <c r="AH17" s="1">
        <f>+SUM(C17:F17)</f>
        <v>183</v>
      </c>
      <c r="AI17" s="1">
        <f>+SUM(G17:J17)</f>
        <v>10</v>
      </c>
      <c r="AJ17" s="1">
        <f>+SUM(K17:N17)</f>
        <v>343</v>
      </c>
      <c r="AK17" s="1">
        <f>+SUM(O17:R17)</f>
        <v>1548</v>
      </c>
      <c r="AL17" s="1">
        <f t="shared" ref="AL17" si="29">+SUM(S17:V17)</f>
        <v>2389</v>
      </c>
      <c r="AM17" s="1">
        <f>+AL32*0.03</f>
        <v>1450.71</v>
      </c>
      <c r="AN17" s="1">
        <f t="shared" ref="AN17:BA17" si="30">+AM32*0.03</f>
        <v>2723.8721759999999</v>
      </c>
      <c r="AO17" s="1">
        <f t="shared" si="30"/>
        <v>4213.8032216435986</v>
      </c>
      <c r="AP17" s="1">
        <f t="shared" si="30"/>
        <v>5952.4916430857947</v>
      </c>
      <c r="AQ17" s="1">
        <f t="shared" si="30"/>
        <v>7976.4470028596843</v>
      </c>
      <c r="AR17" s="1">
        <f t="shared" si="30"/>
        <v>10327.324704205255</v>
      </c>
      <c r="AS17" s="1">
        <f t="shared" si="30"/>
        <v>12957.446724882015</v>
      </c>
      <c r="AT17" s="1">
        <f t="shared" si="30"/>
        <v>15895.565042829938</v>
      </c>
      <c r="AU17" s="1">
        <f t="shared" si="30"/>
        <v>19173.206880307134</v>
      </c>
      <c r="AV17" s="1">
        <f t="shared" si="30"/>
        <v>22824.925465433222</v>
      </c>
      <c r="AW17" s="1">
        <f t="shared" si="30"/>
        <v>26888.571091163623</v>
      </c>
      <c r="AX17" s="1">
        <f t="shared" si="30"/>
        <v>31319.54675297545</v>
      </c>
      <c r="AY17" s="1">
        <f t="shared" si="30"/>
        <v>36144.395461631284</v>
      </c>
      <c r="AZ17" s="1">
        <f t="shared" si="30"/>
        <v>41391.042031144054</v>
      </c>
      <c r="BA17" s="1">
        <f t="shared" si="30"/>
        <v>47088.782575262303</v>
      </c>
    </row>
    <row r="18" spans="1:154" x14ac:dyDescent="0.2">
      <c r="B18" t="s">
        <v>15</v>
      </c>
      <c r="C18" s="1">
        <f t="shared" ref="C18:S18" si="31">+C16+C17</f>
        <v>5533</v>
      </c>
      <c r="D18" s="1">
        <f t="shared" si="31"/>
        <v>4452</v>
      </c>
      <c r="E18" s="1">
        <f t="shared" si="31"/>
        <v>5147</v>
      </c>
      <c r="F18" s="1">
        <f t="shared" si="31"/>
        <v>5533</v>
      </c>
      <c r="G18" s="1">
        <f t="shared" si="31"/>
        <v>5398</v>
      </c>
      <c r="H18" s="1">
        <f t="shared" si="31"/>
        <v>5209</v>
      </c>
      <c r="I18" s="1">
        <f t="shared" si="31"/>
        <v>6140</v>
      </c>
      <c r="J18" s="1">
        <f t="shared" si="31"/>
        <v>6542</v>
      </c>
      <c r="K18" s="1">
        <f t="shared" si="31"/>
        <v>8017</v>
      </c>
      <c r="L18" s="1">
        <f t="shared" si="31"/>
        <v>8932</v>
      </c>
      <c r="M18" s="1">
        <f t="shared" si="31"/>
        <v>10343</v>
      </c>
      <c r="N18" s="1">
        <f t="shared" si="31"/>
        <v>10575</v>
      </c>
      <c r="O18" s="1">
        <f t="shared" si="31"/>
        <v>4949</v>
      </c>
      <c r="P18" s="1">
        <f t="shared" si="31"/>
        <v>6934</v>
      </c>
      <c r="Q18" s="1">
        <f t="shared" si="31"/>
        <v>7598</v>
      </c>
      <c r="R18" s="1">
        <f t="shared" si="31"/>
        <v>8616</v>
      </c>
      <c r="S18" s="1">
        <f t="shared" si="31"/>
        <v>8465</v>
      </c>
      <c r="T18" s="1">
        <f t="shared" ref="T18:V18" si="32">+T16+T17</f>
        <v>9465</v>
      </c>
      <c r="U18" s="1">
        <f t="shared" si="32"/>
        <v>11764</v>
      </c>
      <c r="V18" s="1">
        <f t="shared" si="32"/>
        <v>13711.74</v>
      </c>
      <c r="W18" s="1">
        <f t="shared" ref="W18" si="33">+W16+W17</f>
        <v>13055.109999999999</v>
      </c>
      <c r="AB18" s="1">
        <f t="shared" ref="AB18:AL18" si="34">+AB16+AB17</f>
        <v>9690</v>
      </c>
      <c r="AC18" s="1">
        <f t="shared" si="34"/>
        <v>10055</v>
      </c>
      <c r="AD18" s="1">
        <f t="shared" si="34"/>
        <v>11632</v>
      </c>
      <c r="AE18" s="1">
        <f t="shared" si="34"/>
        <v>12910</v>
      </c>
      <c r="AF18" s="1">
        <f t="shared" si="34"/>
        <v>13174</v>
      </c>
      <c r="AG18" s="1">
        <f t="shared" si="34"/>
        <v>12498</v>
      </c>
      <c r="AH18" s="1">
        <f t="shared" si="34"/>
        <v>20665</v>
      </c>
      <c r="AI18" s="1">
        <f t="shared" si="34"/>
        <v>23289</v>
      </c>
      <c r="AJ18" s="1">
        <f t="shared" si="34"/>
        <v>37867</v>
      </c>
      <c r="AK18" s="1">
        <f t="shared" si="34"/>
        <v>28097</v>
      </c>
      <c r="AL18" s="1">
        <f t="shared" si="34"/>
        <v>43405.74</v>
      </c>
      <c r="AM18" s="1">
        <f t="shared" ref="AM18:BA18" si="35">+AM16+AM17</f>
        <v>48780.159999999996</v>
      </c>
      <c r="AN18" s="1">
        <f t="shared" si="35"/>
        <v>57085.480675999963</v>
      </c>
      <c r="AO18" s="1">
        <f t="shared" si="35"/>
        <v>66616.414614643538</v>
      </c>
      <c r="AP18" s="1">
        <f t="shared" si="35"/>
        <v>77546.182366815716</v>
      </c>
      <c r="AQ18" s="1">
        <f t="shared" si="35"/>
        <v>90071.942580290051</v>
      </c>
      <c r="AR18" s="1">
        <f t="shared" si="35"/>
        <v>100770.95864661912</v>
      </c>
      <c r="AS18" s="1">
        <f t="shared" si="35"/>
        <v>112571.58306313881</v>
      </c>
      <c r="AT18" s="1">
        <f t="shared" si="35"/>
        <v>125580.14702977764</v>
      </c>
      <c r="AU18" s="1">
        <f t="shared" si="35"/>
        <v>139912.58946843244</v>
      </c>
      <c r="AV18" s="1">
        <f t="shared" si="35"/>
        <v>155695.23470231419</v>
      </c>
      <c r="AW18" s="1">
        <f t="shared" si="35"/>
        <v>169769.18244489757</v>
      </c>
      <c r="AX18" s="1">
        <f t="shared" si="35"/>
        <v>184860.103779917</v>
      </c>
      <c r="AY18" s="1">
        <f t="shared" si="35"/>
        <v>201020.94136064238</v>
      </c>
      <c r="AZ18" s="1">
        <f t="shared" si="35"/>
        <v>218304.2354068296</v>
      </c>
      <c r="BA18" s="1">
        <f t="shared" si="35"/>
        <v>236761.39886488637</v>
      </c>
    </row>
    <row r="19" spans="1:154" x14ac:dyDescent="0.2">
      <c r="B19" t="s">
        <v>16</v>
      </c>
      <c r="C19" s="1">
        <v>641</v>
      </c>
      <c r="D19" s="1">
        <v>518</v>
      </c>
      <c r="E19" s="1">
        <v>605</v>
      </c>
      <c r="F19" s="1">
        <v>641</v>
      </c>
      <c r="G19" s="1">
        <v>547</v>
      </c>
      <c r="H19" s="1">
        <v>532</v>
      </c>
      <c r="I19" s="1">
        <v>624</v>
      </c>
      <c r="J19" s="1">
        <v>662</v>
      </c>
      <c r="K19" s="1">
        <v>857</v>
      </c>
      <c r="L19" s="1">
        <v>979</v>
      </c>
      <c r="M19" s="1">
        <v>1178</v>
      </c>
      <c r="N19" s="1">
        <v>1236</v>
      </c>
      <c r="O19" s="1">
        <v>1227</v>
      </c>
      <c r="P19" s="1">
        <v>1074</v>
      </c>
      <c r="Q19" s="1">
        <v>984</v>
      </c>
      <c r="R19" s="1">
        <v>1254</v>
      </c>
      <c r="S19" s="1">
        <v>1316</v>
      </c>
      <c r="T19" s="1">
        <v>1813</v>
      </c>
      <c r="U19" s="1">
        <v>1828</v>
      </c>
      <c r="V19" s="1">
        <v>2301</v>
      </c>
      <c r="W19" s="1">
        <v>2134</v>
      </c>
      <c r="AB19" s="1">
        <v>1264</v>
      </c>
      <c r="AC19" s="1">
        <v>1384</v>
      </c>
      <c r="AD19" s="1">
        <v>1603</v>
      </c>
      <c r="AE19" s="1">
        <v>1740</v>
      </c>
      <c r="AF19" s="1">
        <v>1536</v>
      </c>
      <c r="AG19" s="1">
        <v>1440</v>
      </c>
      <c r="AH19" s="1">
        <f>+SUM(C19:F19)</f>
        <v>2405</v>
      </c>
      <c r="AI19" s="1">
        <f>+SUM(G19:J19)</f>
        <v>2365</v>
      </c>
      <c r="AJ19" s="1">
        <f>+SUM(K19:N19)</f>
        <v>4250</v>
      </c>
      <c r="AK19" s="1">
        <f>+SUM(O19:R19)</f>
        <v>4539</v>
      </c>
      <c r="AL19" s="1">
        <v>7265</v>
      </c>
      <c r="AM19" s="1">
        <f>+AM18*0.13</f>
        <v>6341.4207999999999</v>
      </c>
      <c r="AN19" s="1">
        <f t="shared" ref="AN19:BA19" si="36">+AN18*0.13</f>
        <v>7421.1124878799956</v>
      </c>
      <c r="AO19" s="1">
        <f t="shared" si="36"/>
        <v>8660.1338999036598</v>
      </c>
      <c r="AP19" s="1">
        <f t="shared" si="36"/>
        <v>10081.003707686043</v>
      </c>
      <c r="AQ19" s="1">
        <f t="shared" si="36"/>
        <v>11709.352535437707</v>
      </c>
      <c r="AR19" s="1">
        <f t="shared" si="36"/>
        <v>13100.224624060487</v>
      </c>
      <c r="AS19" s="1">
        <f t="shared" si="36"/>
        <v>14634.305798208046</v>
      </c>
      <c r="AT19" s="1">
        <f t="shared" si="36"/>
        <v>16325.419113871094</v>
      </c>
      <c r="AU19" s="1">
        <f t="shared" si="36"/>
        <v>18188.636630896217</v>
      </c>
      <c r="AV19" s="1">
        <f t="shared" si="36"/>
        <v>20240.380511300846</v>
      </c>
      <c r="AW19" s="1">
        <f t="shared" si="36"/>
        <v>22069.993717836685</v>
      </c>
      <c r="AX19" s="1">
        <f t="shared" si="36"/>
        <v>24031.81349138921</v>
      </c>
      <c r="AY19" s="1">
        <f t="shared" si="36"/>
        <v>26132.72237688351</v>
      </c>
      <c r="AZ19" s="1">
        <f t="shared" si="36"/>
        <v>28379.550602887848</v>
      </c>
      <c r="BA19" s="1">
        <f t="shared" si="36"/>
        <v>30778.98185243523</v>
      </c>
    </row>
    <row r="20" spans="1:154" s="7" customFormat="1" x14ac:dyDescent="0.2">
      <c r="A20" s="6"/>
      <c r="B20" s="6" t="s">
        <v>17</v>
      </c>
      <c r="C20" s="7">
        <f t="shared" ref="C20:S20" si="37">+C18-C19</f>
        <v>4892</v>
      </c>
      <c r="D20" s="7">
        <f t="shared" si="37"/>
        <v>3934</v>
      </c>
      <c r="E20" s="7">
        <f t="shared" si="37"/>
        <v>4542</v>
      </c>
      <c r="F20" s="7">
        <f t="shared" si="37"/>
        <v>4892</v>
      </c>
      <c r="G20" s="7">
        <f t="shared" si="37"/>
        <v>4851</v>
      </c>
      <c r="H20" s="7">
        <f t="shared" si="37"/>
        <v>4677</v>
      </c>
      <c r="I20" s="7">
        <f t="shared" si="37"/>
        <v>5516</v>
      </c>
      <c r="J20" s="7">
        <f t="shared" si="37"/>
        <v>5880</v>
      </c>
      <c r="K20" s="7">
        <f t="shared" si="37"/>
        <v>7160</v>
      </c>
      <c r="L20" s="7">
        <f t="shared" si="37"/>
        <v>7953</v>
      </c>
      <c r="M20" s="7">
        <f t="shared" si="37"/>
        <v>9165</v>
      </c>
      <c r="N20" s="7">
        <f t="shared" si="37"/>
        <v>9339</v>
      </c>
      <c r="O20" s="7">
        <f t="shared" si="37"/>
        <v>3722</v>
      </c>
      <c r="P20" s="7">
        <f t="shared" si="37"/>
        <v>5860</v>
      </c>
      <c r="Q20" s="7">
        <f t="shared" si="37"/>
        <v>6614</v>
      </c>
      <c r="R20" s="7">
        <f t="shared" si="37"/>
        <v>7362</v>
      </c>
      <c r="S20" s="7">
        <f t="shared" si="37"/>
        <v>7149</v>
      </c>
      <c r="T20" s="7">
        <f t="shared" ref="T20:V20" si="38">+T18-T19</f>
        <v>7652</v>
      </c>
      <c r="U20" s="7">
        <f t="shared" si="38"/>
        <v>9936</v>
      </c>
      <c r="V20" s="7">
        <f t="shared" si="38"/>
        <v>11410.74</v>
      </c>
      <c r="W20" s="7">
        <f t="shared" ref="W20" si="39">+W18-W19</f>
        <v>10921.109999999999</v>
      </c>
      <c r="AB20" s="7">
        <f t="shared" ref="AB20:AL20" si="40">+AB18-AB19</f>
        <v>8426</v>
      </c>
      <c r="AC20" s="7">
        <f t="shared" si="40"/>
        <v>8671</v>
      </c>
      <c r="AD20" s="7">
        <f t="shared" si="40"/>
        <v>10029</v>
      </c>
      <c r="AE20" s="7">
        <f t="shared" si="40"/>
        <v>11170</v>
      </c>
      <c r="AF20" s="7">
        <f t="shared" si="40"/>
        <v>11638</v>
      </c>
      <c r="AG20" s="7">
        <f t="shared" si="40"/>
        <v>11058</v>
      </c>
      <c r="AH20" s="7">
        <f t="shared" si="40"/>
        <v>18260</v>
      </c>
      <c r="AI20" s="7">
        <f t="shared" si="40"/>
        <v>20924</v>
      </c>
      <c r="AJ20" s="7">
        <f t="shared" si="40"/>
        <v>33617</v>
      </c>
      <c r="AK20" s="7">
        <f t="shared" si="40"/>
        <v>23558</v>
      </c>
      <c r="AL20" s="7">
        <f t="shared" si="40"/>
        <v>36140.74</v>
      </c>
      <c r="AM20" s="7">
        <f t="shared" ref="AM20:BA20" si="41">+AM18-AM19</f>
        <v>42438.739199999996</v>
      </c>
      <c r="AN20" s="7">
        <f t="shared" si="41"/>
        <v>49664.368188119966</v>
      </c>
      <c r="AO20" s="7">
        <f>+AO18-AO19</f>
        <v>57956.280714739878</v>
      </c>
      <c r="AP20" s="7">
        <f t="shared" si="41"/>
        <v>67465.17865912967</v>
      </c>
      <c r="AQ20" s="7">
        <f t="shared" si="41"/>
        <v>78362.590044852346</v>
      </c>
      <c r="AR20" s="7">
        <f t="shared" si="41"/>
        <v>87670.734022558638</v>
      </c>
      <c r="AS20" s="7">
        <f t="shared" si="41"/>
        <v>97937.277264930759</v>
      </c>
      <c r="AT20" s="7">
        <f t="shared" si="41"/>
        <v>109254.72791590655</v>
      </c>
      <c r="AU20" s="7">
        <f t="shared" si="41"/>
        <v>121723.95283753623</v>
      </c>
      <c r="AV20" s="7">
        <f t="shared" si="41"/>
        <v>135454.85419101335</v>
      </c>
      <c r="AW20" s="7">
        <f t="shared" si="41"/>
        <v>147699.18872706089</v>
      </c>
      <c r="AX20" s="7">
        <f t="shared" si="41"/>
        <v>160828.29028852779</v>
      </c>
      <c r="AY20" s="7">
        <f t="shared" si="41"/>
        <v>174888.21898375888</v>
      </c>
      <c r="AZ20" s="7">
        <f t="shared" si="41"/>
        <v>189924.68480394175</v>
      </c>
      <c r="BA20" s="7">
        <f t="shared" si="41"/>
        <v>205982.41701245116</v>
      </c>
      <c r="BB20" s="7">
        <f>+BA20*(1+$BD$24)</f>
        <v>203922.59284232665</v>
      </c>
      <c r="BC20" s="7">
        <f t="shared" ref="BC20:DN20" si="42">+BB20*(1+$BD$24)</f>
        <v>201883.36691390339</v>
      </c>
      <c r="BD20" s="7">
        <f t="shared" si="42"/>
        <v>199864.53324476434</v>
      </c>
      <c r="BE20" s="7">
        <f t="shared" si="42"/>
        <v>197865.88791231671</v>
      </c>
      <c r="BF20" s="7">
        <f t="shared" si="42"/>
        <v>195887.22903319355</v>
      </c>
      <c r="BG20" s="7">
        <f t="shared" si="42"/>
        <v>193928.35674286162</v>
      </c>
      <c r="BH20" s="7">
        <f t="shared" si="42"/>
        <v>191989.073175433</v>
      </c>
      <c r="BI20" s="7">
        <f t="shared" si="42"/>
        <v>190069.18244367867</v>
      </c>
      <c r="BJ20" s="7">
        <f t="shared" si="42"/>
        <v>188168.49061924187</v>
      </c>
      <c r="BK20" s="7">
        <f t="shared" si="42"/>
        <v>186286.80571304946</v>
      </c>
      <c r="BL20" s="7">
        <f t="shared" si="42"/>
        <v>184423.93765591897</v>
      </c>
      <c r="BM20" s="7">
        <f t="shared" si="42"/>
        <v>182579.69827935979</v>
      </c>
      <c r="BN20" s="7">
        <f t="shared" si="42"/>
        <v>180753.90129656618</v>
      </c>
      <c r="BO20" s="7">
        <f t="shared" si="42"/>
        <v>178946.36228360052</v>
      </c>
      <c r="BP20" s="7">
        <f t="shared" si="42"/>
        <v>177156.89866076451</v>
      </c>
      <c r="BQ20" s="7">
        <f t="shared" si="42"/>
        <v>175385.32967415685</v>
      </c>
      <c r="BR20" s="7">
        <f t="shared" si="42"/>
        <v>173631.47637741527</v>
      </c>
      <c r="BS20" s="7">
        <f t="shared" si="42"/>
        <v>171895.1616136411</v>
      </c>
      <c r="BT20" s="7">
        <f t="shared" si="42"/>
        <v>170176.20999750469</v>
      </c>
      <c r="BU20" s="7">
        <f t="shared" si="42"/>
        <v>168474.44789752964</v>
      </c>
      <c r="BV20" s="7">
        <f t="shared" si="42"/>
        <v>166789.70341855433</v>
      </c>
      <c r="BW20" s="7">
        <f t="shared" si="42"/>
        <v>165121.8063843688</v>
      </c>
      <c r="BX20" s="7">
        <f t="shared" si="42"/>
        <v>163470.5883205251</v>
      </c>
      <c r="BY20" s="7">
        <f t="shared" si="42"/>
        <v>161835.88243731984</v>
      </c>
      <c r="BZ20" s="7">
        <f t="shared" si="42"/>
        <v>160217.52361294665</v>
      </c>
      <c r="CA20" s="7">
        <f t="shared" si="42"/>
        <v>158615.34837681719</v>
      </c>
      <c r="CB20" s="7">
        <f t="shared" si="42"/>
        <v>157029.19489304902</v>
      </c>
      <c r="CC20" s="7">
        <f t="shared" si="42"/>
        <v>155458.90294411851</v>
      </c>
      <c r="CD20" s="7">
        <f t="shared" si="42"/>
        <v>153904.31391467733</v>
      </c>
      <c r="CE20" s="7">
        <f t="shared" si="42"/>
        <v>152365.27077553055</v>
      </c>
      <c r="CF20" s="7">
        <f t="shared" si="42"/>
        <v>150841.61806777524</v>
      </c>
      <c r="CG20" s="7">
        <f t="shared" si="42"/>
        <v>149333.2018870975</v>
      </c>
      <c r="CH20" s="7">
        <f t="shared" si="42"/>
        <v>147839.86986822652</v>
      </c>
      <c r="CI20" s="7">
        <f t="shared" si="42"/>
        <v>146361.47116954427</v>
      </c>
      <c r="CJ20" s="7">
        <f t="shared" si="42"/>
        <v>144897.85645784883</v>
      </c>
      <c r="CK20" s="7">
        <f t="shared" si="42"/>
        <v>143448.87789327034</v>
      </c>
      <c r="CL20" s="7">
        <f t="shared" si="42"/>
        <v>142014.38911433762</v>
      </c>
      <c r="CM20" s="7">
        <f t="shared" si="42"/>
        <v>140594.24522319424</v>
      </c>
      <c r="CN20" s="7">
        <f t="shared" si="42"/>
        <v>139188.3027709623</v>
      </c>
      <c r="CO20" s="7">
        <f t="shared" si="42"/>
        <v>137796.41974325269</v>
      </c>
      <c r="CP20" s="7">
        <f t="shared" si="42"/>
        <v>136418.45554582015</v>
      </c>
      <c r="CQ20" s="7">
        <f t="shared" si="42"/>
        <v>135054.27099036195</v>
      </c>
      <c r="CR20" s="7">
        <f t="shared" si="42"/>
        <v>133703.72828045834</v>
      </c>
      <c r="CS20" s="7">
        <f t="shared" si="42"/>
        <v>132366.69099765376</v>
      </c>
      <c r="CT20" s="7">
        <f t="shared" si="42"/>
        <v>131043.02408767721</v>
      </c>
      <c r="CU20" s="7">
        <f t="shared" si="42"/>
        <v>129732.59384680045</v>
      </c>
      <c r="CV20" s="7">
        <f t="shared" si="42"/>
        <v>128435.26790833245</v>
      </c>
      <c r="CW20" s="7">
        <f t="shared" si="42"/>
        <v>127150.91522924912</v>
      </c>
      <c r="CX20" s="7">
        <f t="shared" si="42"/>
        <v>125879.40607695663</v>
      </c>
      <c r="CY20" s="7">
        <f t="shared" si="42"/>
        <v>124620.61201618706</v>
      </c>
      <c r="CZ20" s="7">
        <f t="shared" si="42"/>
        <v>123374.40589602519</v>
      </c>
      <c r="DA20" s="7">
        <f t="shared" si="42"/>
        <v>122140.66183706494</v>
      </c>
      <c r="DB20" s="7">
        <f t="shared" si="42"/>
        <v>120919.25521869429</v>
      </c>
      <c r="DC20" s="7">
        <f t="shared" si="42"/>
        <v>119710.06266650735</v>
      </c>
      <c r="DD20" s="7">
        <f t="shared" si="42"/>
        <v>118512.96203984227</v>
      </c>
      <c r="DE20" s="7">
        <f t="shared" si="42"/>
        <v>117327.83241944385</v>
      </c>
      <c r="DF20" s="7">
        <f t="shared" si="42"/>
        <v>116154.5540952494</v>
      </c>
      <c r="DG20" s="7">
        <f t="shared" si="42"/>
        <v>114993.0085542969</v>
      </c>
      <c r="DH20" s="7">
        <f t="shared" si="42"/>
        <v>113843.07846875393</v>
      </c>
      <c r="DI20" s="7">
        <f t="shared" si="42"/>
        <v>112704.64768406638</v>
      </c>
      <c r="DJ20" s="7">
        <f t="shared" si="42"/>
        <v>111577.60120722571</v>
      </c>
      <c r="DK20" s="7">
        <f t="shared" si="42"/>
        <v>110461.82519515346</v>
      </c>
      <c r="DL20" s="7">
        <f t="shared" si="42"/>
        <v>109357.20694320192</v>
      </c>
      <c r="DM20" s="7">
        <f t="shared" si="42"/>
        <v>108263.6348737699</v>
      </c>
      <c r="DN20" s="7">
        <f t="shared" si="42"/>
        <v>107180.99852503221</v>
      </c>
      <c r="DO20" s="7">
        <f t="shared" ref="DO20:EX20" si="43">+DN20*(1+$BD$24)</f>
        <v>106109.18853978188</v>
      </c>
      <c r="DP20" s="7">
        <f t="shared" si="43"/>
        <v>105048.09665438406</v>
      </c>
      <c r="DQ20" s="7">
        <f t="shared" si="43"/>
        <v>103997.61568784023</v>
      </c>
      <c r="DR20" s="7">
        <f t="shared" si="43"/>
        <v>102957.63953096182</v>
      </c>
      <c r="DS20" s="7">
        <f t="shared" si="43"/>
        <v>101928.06313565221</v>
      </c>
      <c r="DT20" s="7">
        <f t="shared" si="43"/>
        <v>100908.78250429568</v>
      </c>
      <c r="DU20" s="7">
        <f t="shared" si="43"/>
        <v>99899.694679252731</v>
      </c>
      <c r="DV20" s="7">
        <f t="shared" si="43"/>
        <v>98900.697732460205</v>
      </c>
      <c r="DW20" s="7">
        <f t="shared" si="43"/>
        <v>97911.690755135598</v>
      </c>
      <c r="DX20" s="7">
        <f t="shared" si="43"/>
        <v>96932.573847584237</v>
      </c>
      <c r="DY20" s="7">
        <f t="shared" si="43"/>
        <v>95963.24810910839</v>
      </c>
      <c r="DZ20" s="7">
        <f t="shared" si="43"/>
        <v>95003.615628017302</v>
      </c>
      <c r="EA20" s="7">
        <f t="shared" si="43"/>
        <v>94053.579471737132</v>
      </c>
      <c r="EB20" s="7">
        <f t="shared" si="43"/>
        <v>93113.043677019756</v>
      </c>
      <c r="EC20" s="7">
        <f t="shared" si="43"/>
        <v>92181.91324024956</v>
      </c>
      <c r="ED20" s="7">
        <f t="shared" si="43"/>
        <v>91260.094107847064</v>
      </c>
      <c r="EE20" s="7">
        <f t="shared" si="43"/>
        <v>90347.493166768589</v>
      </c>
      <c r="EF20" s="7">
        <f t="shared" si="43"/>
        <v>89444.018235100899</v>
      </c>
      <c r="EG20" s="7">
        <f t="shared" si="43"/>
        <v>88549.578052749886</v>
      </c>
      <c r="EH20" s="7">
        <f t="shared" si="43"/>
        <v>87664.082272222382</v>
      </c>
      <c r="EI20" s="7">
        <f t="shared" si="43"/>
        <v>86787.441449500155</v>
      </c>
      <c r="EJ20" s="7">
        <f t="shared" si="43"/>
        <v>85919.567035005151</v>
      </c>
      <c r="EK20" s="7">
        <f t="shared" si="43"/>
        <v>85060.371364655104</v>
      </c>
      <c r="EL20" s="7">
        <f t="shared" si="43"/>
        <v>84209.767651008558</v>
      </c>
      <c r="EM20" s="7">
        <f t="shared" si="43"/>
        <v>83367.669974498465</v>
      </c>
      <c r="EN20" s="7">
        <f t="shared" si="43"/>
        <v>82533.993274753477</v>
      </c>
      <c r="EO20" s="7">
        <f t="shared" si="43"/>
        <v>81708.653342005942</v>
      </c>
      <c r="EP20" s="7">
        <f t="shared" si="43"/>
        <v>80891.566808585878</v>
      </c>
      <c r="EQ20" s="7">
        <f t="shared" si="43"/>
        <v>80082.65114050002</v>
      </c>
      <c r="ER20" s="7">
        <f t="shared" si="43"/>
        <v>79281.824629095019</v>
      </c>
      <c r="ES20" s="7">
        <f t="shared" si="43"/>
        <v>78489.006382804073</v>
      </c>
      <c r="ET20" s="7">
        <f t="shared" si="43"/>
        <v>77704.116318976026</v>
      </c>
      <c r="EU20" s="7">
        <f t="shared" si="43"/>
        <v>76927.075155786268</v>
      </c>
      <c r="EV20" s="7">
        <f t="shared" si="43"/>
        <v>76157.804404228402</v>
      </c>
      <c r="EW20" s="7">
        <f t="shared" si="43"/>
        <v>75396.22636018612</v>
      </c>
      <c r="EX20" s="7">
        <f t="shared" si="43"/>
        <v>74642.264096584258</v>
      </c>
    </row>
    <row r="21" spans="1:154" x14ac:dyDescent="0.2">
      <c r="B21" t="s">
        <v>18</v>
      </c>
      <c r="C21" s="4">
        <f t="shared" ref="C21:S21" si="44">+C20/C22</f>
        <v>0.94334528905858306</v>
      </c>
      <c r="D21" s="4">
        <f t="shared" si="44"/>
        <v>0.7586100505225809</v>
      </c>
      <c r="E21" s="4">
        <f t="shared" si="44"/>
        <v>0.87585329168112924</v>
      </c>
      <c r="F21" s="4">
        <f t="shared" si="44"/>
        <v>0.94334528905858306</v>
      </c>
      <c r="G21" s="4">
        <f t="shared" si="44"/>
        <v>0.93543908365150985</v>
      </c>
      <c r="H21" s="4">
        <f t="shared" si="44"/>
        <v>0.90188591924100425</v>
      </c>
      <c r="I21" s="4">
        <f t="shared" si="44"/>
        <v>1.0636738786686721</v>
      </c>
      <c r="J21" s="4">
        <f t="shared" si="44"/>
        <v>1.1338655559412241</v>
      </c>
      <c r="K21" s="4">
        <f t="shared" si="44"/>
        <v>1.3806934320644837</v>
      </c>
      <c r="L21" s="4">
        <f t="shared" si="44"/>
        <v>1.5336110146939719</v>
      </c>
      <c r="M21" s="4">
        <f t="shared" si="44"/>
        <v>1.7673261598981835</v>
      </c>
      <c r="N21" s="4">
        <f t="shared" si="44"/>
        <v>1.8008793243086891</v>
      </c>
      <c r="O21" s="4">
        <f t="shared" si="44"/>
        <v>0.71772918353966597</v>
      </c>
      <c r="P21" s="4">
        <f t="shared" si="44"/>
        <v>1.1299907845973387</v>
      </c>
      <c r="Q21" s="4">
        <f t="shared" si="44"/>
        <v>1.2753884545141982</v>
      </c>
      <c r="R21" s="4">
        <f t="shared" si="44"/>
        <v>1.4196459562651857</v>
      </c>
      <c r="S21" s="4">
        <f t="shared" si="44"/>
        <v>1.3785190898573081</v>
      </c>
      <c r="T21" s="4">
        <f t="shared" ref="T21:V21" si="45">+T20/T22</f>
        <v>1.4754540896995874</v>
      </c>
      <c r="U21" s="4">
        <f t="shared" si="45"/>
        <v>1.9160752854057388</v>
      </c>
      <c r="V21" s="4">
        <f t="shared" si="45"/>
        <v>2.2003818118708782</v>
      </c>
      <c r="W21" s="4">
        <f t="shared" ref="W21" si="46">+W20/W22</f>
        <v>2.1059643642253842</v>
      </c>
      <c r="X21" s="4"/>
      <c r="Y21" s="4"/>
      <c r="Z21" s="4"/>
      <c r="AB21" s="4">
        <f t="shared" ref="AB21:AL21" si="47">+AB20/AB22</f>
        <v>0.32501446480231438</v>
      </c>
      <c r="AC21" s="4">
        <f t="shared" si="47"/>
        <v>0.33446480231436837</v>
      </c>
      <c r="AD21" s="4">
        <f t="shared" si="47"/>
        <v>0.38684667309546772</v>
      </c>
      <c r="AE21" s="4">
        <f t="shared" si="47"/>
        <v>0.43085824493731917</v>
      </c>
      <c r="AF21" s="4">
        <f t="shared" si="47"/>
        <v>0.44891031822565092</v>
      </c>
      <c r="AG21" s="4">
        <f t="shared" si="47"/>
        <v>0.42653809064609449</v>
      </c>
      <c r="AH21" s="4">
        <f t="shared" si="47"/>
        <v>3.5210181257231006</v>
      </c>
      <c r="AI21" s="4">
        <f t="shared" si="47"/>
        <v>4.0347088314693407</v>
      </c>
      <c r="AJ21" s="4">
        <f t="shared" si="47"/>
        <v>6.4822599305823374</v>
      </c>
      <c r="AK21" s="4">
        <f t="shared" si="47"/>
        <v>4.5426147319706907</v>
      </c>
      <c r="AL21" s="4">
        <f t="shared" si="47"/>
        <v>6.9689047435403007</v>
      </c>
      <c r="AM21" s="4">
        <f t="shared" ref="AM21:BA21" si="48">+AM20/AM22</f>
        <v>8.1833280370227524</v>
      </c>
      <c r="AN21" s="4">
        <f t="shared" si="48"/>
        <v>9.5766232526262947</v>
      </c>
      <c r="AO21" s="4">
        <f t="shared" si="48"/>
        <v>11.175526555098319</v>
      </c>
      <c r="AP21" s="4">
        <f t="shared" si="48"/>
        <v>13.009097311826006</v>
      </c>
      <c r="AQ21" s="4">
        <f t="shared" si="48"/>
        <v>15.110410729821124</v>
      </c>
      <c r="AR21" s="4">
        <f t="shared" si="48"/>
        <v>16.905270733235373</v>
      </c>
      <c r="AS21" s="4">
        <f t="shared" si="48"/>
        <v>18.884935839747545</v>
      </c>
      <c r="AT21" s="4">
        <f t="shared" si="48"/>
        <v>21.067244102565859</v>
      </c>
      <c r="AU21" s="4">
        <f t="shared" si="48"/>
        <v>23.471645360111111</v>
      </c>
      <c r="AV21" s="4">
        <f t="shared" si="48"/>
        <v>26.119331698999876</v>
      </c>
      <c r="AW21" s="4">
        <f t="shared" si="48"/>
        <v>28.48036805381043</v>
      </c>
      <c r="AX21" s="4">
        <f t="shared" si="48"/>
        <v>31.012011239592709</v>
      </c>
      <c r="AY21" s="4">
        <f t="shared" si="48"/>
        <v>33.723142881557827</v>
      </c>
      <c r="AZ21" s="4">
        <f t="shared" si="48"/>
        <v>36.622577092931309</v>
      </c>
      <c r="BA21" s="4">
        <f t="shared" si="48"/>
        <v>39.718938876292164</v>
      </c>
    </row>
    <row r="22" spans="1:154" x14ac:dyDescent="0.2">
      <c r="B22" t="s">
        <v>1</v>
      </c>
      <c r="C22" s="1">
        <v>5185.8</v>
      </c>
      <c r="D22" s="1">
        <v>5185.8</v>
      </c>
      <c r="E22" s="1">
        <v>5185.8</v>
      </c>
      <c r="F22" s="1">
        <v>5185.8</v>
      </c>
      <c r="G22" s="1">
        <v>5185.8</v>
      </c>
      <c r="H22" s="1">
        <v>5185.8</v>
      </c>
      <c r="I22" s="1">
        <v>5185.8</v>
      </c>
      <c r="J22" s="1">
        <v>5185.8</v>
      </c>
      <c r="K22" s="1">
        <v>5185.8</v>
      </c>
      <c r="L22" s="1">
        <v>5185.8</v>
      </c>
      <c r="M22" s="1">
        <v>5185.8</v>
      </c>
      <c r="N22" s="1">
        <v>5185.8</v>
      </c>
      <c r="O22" s="1">
        <v>5185.8</v>
      </c>
      <c r="P22" s="1">
        <v>5185.8829999999998</v>
      </c>
      <c r="Q22" s="1">
        <v>5185.8710000000001</v>
      </c>
      <c r="R22" s="1">
        <v>5185.8</v>
      </c>
      <c r="S22" s="1">
        <v>5186</v>
      </c>
      <c r="T22" s="1">
        <v>5186.2</v>
      </c>
      <c r="U22" s="1">
        <v>5185.6000000000004</v>
      </c>
      <c r="V22" s="1">
        <v>5185.8</v>
      </c>
      <c r="W22" s="1">
        <f>25929/5</f>
        <v>5185.8</v>
      </c>
      <c r="AB22" s="1">
        <f t="shared" ref="AB22:AG22" si="49">25930-5</f>
        <v>25925</v>
      </c>
      <c r="AC22" s="1">
        <f t="shared" si="49"/>
        <v>25925</v>
      </c>
      <c r="AD22" s="1">
        <f t="shared" si="49"/>
        <v>25925</v>
      </c>
      <c r="AE22" s="1">
        <f t="shared" si="49"/>
        <v>25925</v>
      </c>
      <c r="AF22" s="1">
        <f t="shared" si="49"/>
        <v>25925</v>
      </c>
      <c r="AG22" s="1">
        <f t="shared" si="49"/>
        <v>25925</v>
      </c>
      <c r="AH22" s="1">
        <v>5186</v>
      </c>
      <c r="AI22" s="1">
        <v>5186</v>
      </c>
      <c r="AJ22" s="1">
        <v>5186</v>
      </c>
      <c r="AK22" s="1">
        <v>5186</v>
      </c>
      <c r="AL22" s="1">
        <v>5186</v>
      </c>
      <c r="AM22" s="1">
        <v>5186</v>
      </c>
      <c r="AN22" s="1">
        <v>5186</v>
      </c>
      <c r="AO22" s="1">
        <v>5186</v>
      </c>
      <c r="AP22" s="1">
        <v>5186</v>
      </c>
      <c r="AQ22" s="1">
        <v>5186</v>
      </c>
      <c r="AR22" s="1">
        <v>5186</v>
      </c>
      <c r="AS22" s="1">
        <v>5186</v>
      </c>
      <c r="AT22" s="1">
        <v>5186</v>
      </c>
      <c r="AU22" s="1">
        <v>5186</v>
      </c>
      <c r="AV22" s="1">
        <v>5186</v>
      </c>
      <c r="AW22" s="1">
        <v>5186</v>
      </c>
      <c r="AX22" s="1">
        <v>5186</v>
      </c>
      <c r="AY22" s="1">
        <v>5186</v>
      </c>
      <c r="AZ22" s="1">
        <v>5186</v>
      </c>
      <c r="BA22" s="1">
        <v>5186</v>
      </c>
    </row>
    <row r="23" spans="1:154" x14ac:dyDescent="0.2">
      <c r="C23" s="1"/>
      <c r="D23" s="1"/>
      <c r="E23" s="1"/>
      <c r="F23" s="1"/>
    </row>
    <row r="24" spans="1:154" s="3" customFormat="1" x14ac:dyDescent="0.2">
      <c r="B24" s="3" t="s">
        <v>19</v>
      </c>
      <c r="C24" s="3">
        <f t="shared" ref="C24:T24" si="50">+C12/C10</f>
        <v>0.53999684443041973</v>
      </c>
      <c r="D24" s="3">
        <f t="shared" si="50"/>
        <v>0.52980259990370726</v>
      </c>
      <c r="E24" s="3">
        <f t="shared" si="50"/>
        <v>0.53443730433349812</v>
      </c>
      <c r="F24" s="3">
        <f t="shared" si="50"/>
        <v>0.53999684443041973</v>
      </c>
      <c r="G24" s="3">
        <f t="shared" si="50"/>
        <v>0.52380215186933976</v>
      </c>
      <c r="H24" s="3">
        <f t="shared" si="50"/>
        <v>0.50033862593122136</v>
      </c>
      <c r="I24" s="3">
        <f t="shared" si="50"/>
        <v>0.51303938701438367</v>
      </c>
      <c r="J24" s="3">
        <f t="shared" si="50"/>
        <v>0.52662684290798167</v>
      </c>
      <c r="K24" s="3">
        <f t="shared" si="50"/>
        <v>0.55632720441737349</v>
      </c>
      <c r="L24" s="3">
        <f t="shared" si="50"/>
        <v>0.59059367771781035</v>
      </c>
      <c r="M24" s="3">
        <f t="shared" si="50"/>
        <v>0.60425216316440045</v>
      </c>
      <c r="N24" s="3">
        <f t="shared" si="50"/>
        <v>0.62214640509758667</v>
      </c>
      <c r="O24" s="3">
        <f t="shared" si="50"/>
        <v>0.56325139063341112</v>
      </c>
      <c r="P24" s="3">
        <f t="shared" si="50"/>
        <v>0.54111118198634944</v>
      </c>
      <c r="Q24" s="3">
        <f t="shared" si="50"/>
        <v>0.54259752286144225</v>
      </c>
      <c r="R24" s="3">
        <f t="shared" si="50"/>
        <v>0.53037097431716262</v>
      </c>
      <c r="S24" s="3">
        <f t="shared" si="50"/>
        <v>0.53065225454352782</v>
      </c>
      <c r="T24" s="3">
        <f t="shared" si="50"/>
        <v>0.53174526942656808</v>
      </c>
      <c r="U24" s="3">
        <f t="shared" ref="U24" si="51">+U12/U10</f>
        <v>0.57832709326072163</v>
      </c>
      <c r="V24" s="3">
        <v>0.59</v>
      </c>
      <c r="W24" s="3">
        <v>0.59</v>
      </c>
      <c r="AB24" s="3">
        <f t="shared" ref="AB24:AL24" si="52">+AB12/AB10</f>
        <v>0.49517340007150518</v>
      </c>
      <c r="AC24" s="3">
        <f t="shared" si="52"/>
        <v>0.48654438848380066</v>
      </c>
      <c r="AD24" s="3">
        <f t="shared" si="52"/>
        <v>0.50091730651627375</v>
      </c>
      <c r="AE24" s="3">
        <f t="shared" si="52"/>
        <v>0.50624513315682917</v>
      </c>
      <c r="AF24" s="3">
        <f t="shared" si="52"/>
        <v>0.48268803368815066</v>
      </c>
      <c r="AG24" s="3">
        <f t="shared" si="52"/>
        <v>0.4604989604989605</v>
      </c>
      <c r="AH24" s="3">
        <f t="shared" si="52"/>
        <v>0.53637597911227153</v>
      </c>
      <c r="AI24" s="3">
        <f t="shared" si="52"/>
        <v>0.51627890605751292</v>
      </c>
      <c r="AJ24" s="3">
        <f t="shared" si="52"/>
        <v>0.59458889577100982</v>
      </c>
      <c r="AK24" s="3">
        <f t="shared" si="52"/>
        <v>0.54378192732835007</v>
      </c>
      <c r="AL24" s="3">
        <f t="shared" si="52"/>
        <v>0.56104925457633514</v>
      </c>
      <c r="AM24" s="3">
        <f t="shared" ref="AM24:BA24" si="53">+AM12/AM10</f>
        <v>0.56899276468633297</v>
      </c>
      <c r="AN24" s="3">
        <f t="shared" si="53"/>
        <v>0.57662121132905264</v>
      </c>
      <c r="AO24" s="3">
        <f t="shared" si="53"/>
        <v>0.58411464121703394</v>
      </c>
      <c r="AP24" s="3">
        <f t="shared" si="53"/>
        <v>0.59147544402735186</v>
      </c>
      <c r="AQ24" s="3">
        <f t="shared" si="53"/>
        <v>0.59870596714191182</v>
      </c>
      <c r="AR24" s="3">
        <f t="shared" si="53"/>
        <v>0.60235409471334911</v>
      </c>
      <c r="AS24" s="3">
        <f t="shared" si="53"/>
        <v>0.60596905748868224</v>
      </c>
      <c r="AT24" s="3">
        <f t="shared" si="53"/>
        <v>0.60955115696605788</v>
      </c>
      <c r="AU24" s="3">
        <f t="shared" si="53"/>
        <v>0.6131006919027302</v>
      </c>
      <c r="AV24" s="3">
        <f t="shared" si="53"/>
        <v>0.61661795833997801</v>
      </c>
      <c r="AW24" s="3">
        <f t="shared" si="53"/>
        <v>0.62016779205905237</v>
      </c>
      <c r="AX24" s="3">
        <f t="shared" si="53"/>
        <v>0.62368475694739434</v>
      </c>
      <c r="AY24" s="3">
        <f t="shared" si="53"/>
        <v>0.62716915734602963</v>
      </c>
      <c r="AZ24" s="3">
        <f t="shared" si="53"/>
        <v>0.63062129477801088</v>
      </c>
      <c r="BA24" s="3">
        <f t="shared" si="53"/>
        <v>0.63404146797451078</v>
      </c>
      <c r="BC24" s="3" t="s">
        <v>111</v>
      </c>
      <c r="BD24" s="3">
        <v>-0.01</v>
      </c>
    </row>
    <row r="25" spans="1:154" s="3" customFormat="1" x14ac:dyDescent="0.2">
      <c r="B25" s="3" t="s">
        <v>20</v>
      </c>
      <c r="C25" s="3">
        <f t="shared" ref="C25:T25" si="54">+C16/C10</f>
        <v>0.43404859577153676</v>
      </c>
      <c r="D25" s="3">
        <f t="shared" si="54"/>
        <v>0.42205103514684639</v>
      </c>
      <c r="E25" s="3">
        <f t="shared" si="54"/>
        <v>0.41975613774921733</v>
      </c>
      <c r="F25" s="3">
        <f t="shared" si="54"/>
        <v>0.43404859577153676</v>
      </c>
      <c r="G25" s="3">
        <f t="shared" si="54"/>
        <v>0.4158990633949996</v>
      </c>
      <c r="H25" s="3">
        <f t="shared" si="54"/>
        <v>0.39122582587102117</v>
      </c>
      <c r="I25" s="3">
        <f t="shared" si="54"/>
        <v>0.41262266433660438</v>
      </c>
      <c r="J25" s="3">
        <f t="shared" si="54"/>
        <v>0.4173868835790544</v>
      </c>
      <c r="K25" s="3">
        <f t="shared" si="54"/>
        <v>0.45733477543120626</v>
      </c>
      <c r="L25" s="3">
        <f t="shared" si="54"/>
        <v>0.4906928075779271</v>
      </c>
      <c r="M25" s="3">
        <f t="shared" si="54"/>
        <v>0.50610630407911006</v>
      </c>
      <c r="N25" s="3">
        <f t="shared" si="54"/>
        <v>0.51899051728463197</v>
      </c>
      <c r="O25" s="3">
        <f t="shared" si="54"/>
        <v>0.27507626054189843</v>
      </c>
      <c r="P25" s="3">
        <f t="shared" si="54"/>
        <v>0.42010588760604706</v>
      </c>
      <c r="Q25" s="3">
        <f t="shared" si="54"/>
        <v>0.41688852876490334</v>
      </c>
      <c r="R25" s="3">
        <f t="shared" si="54"/>
        <v>0.41586832450061151</v>
      </c>
      <c r="S25" s="3">
        <f t="shared" si="54"/>
        <v>0.42038891538176232</v>
      </c>
      <c r="T25" s="3">
        <f t="shared" si="54"/>
        <v>0.42733647104024591</v>
      </c>
      <c r="U25" s="3">
        <f t="shared" ref="U25" si="55">+U16/U10</f>
        <v>0.47421715452688906</v>
      </c>
      <c r="V25" s="3">
        <v>0.48499999999999999</v>
      </c>
      <c r="W25" s="3">
        <v>0.48499999999999999</v>
      </c>
      <c r="AB25" s="3">
        <f t="shared" ref="AB25:AL25" si="56">+AB16/AB10</f>
        <v>0.38918682715607994</v>
      </c>
      <c r="AC25" s="3">
        <f t="shared" si="56"/>
        <v>0.38168082387431407</v>
      </c>
      <c r="AD25" s="3">
        <f t="shared" si="56"/>
        <v>0.39868859142488278</v>
      </c>
      <c r="AE25" s="3">
        <f t="shared" si="56"/>
        <v>0.39585734309297615</v>
      </c>
      <c r="AF25" s="3">
        <f t="shared" si="56"/>
        <v>0.37396186688501581</v>
      </c>
      <c r="AG25" s="3">
        <f t="shared" si="56"/>
        <v>0.34878147378147378</v>
      </c>
      <c r="AH25" s="3">
        <f t="shared" si="56"/>
        <v>0.42782245430809401</v>
      </c>
      <c r="AI25" s="3">
        <f t="shared" si="56"/>
        <v>0.40968286931118231</v>
      </c>
      <c r="AJ25" s="3">
        <f t="shared" si="56"/>
        <v>0.49451114244672578</v>
      </c>
      <c r="AK25" s="3">
        <f t="shared" si="56"/>
        <v>0.38311350976940173</v>
      </c>
      <c r="AL25" s="3">
        <f t="shared" si="56"/>
        <v>0.45532164781368289</v>
      </c>
      <c r="AM25" s="3">
        <f t="shared" ref="AM25:BA25" si="57">+AM16/AM10</f>
        <v>0.46495419809007993</v>
      </c>
      <c r="AN25" s="3">
        <f t="shared" si="57"/>
        <v>0.47259875225780373</v>
      </c>
      <c r="AO25" s="3">
        <f t="shared" si="57"/>
        <v>0.4800921367235837</v>
      </c>
      <c r="AP25" s="3">
        <f t="shared" si="57"/>
        <v>0.48743660074097034</v>
      </c>
      <c r="AQ25" s="3">
        <f t="shared" si="57"/>
        <v>0.49463434749563312</v>
      </c>
      <c r="AR25" s="3">
        <f t="shared" si="57"/>
        <v>0.49539344998140206</v>
      </c>
      <c r="AS25" s="3">
        <f t="shared" si="57"/>
        <v>0.49602155022317429</v>
      </c>
      <c r="AT25" s="3">
        <f t="shared" si="57"/>
        <v>0.4965151113237225</v>
      </c>
      <c r="AU25" s="3">
        <f t="shared" si="57"/>
        <v>0.49687043024079869</v>
      </c>
      <c r="AV25" s="3">
        <f t="shared" si="57"/>
        <v>0.49708363058583338</v>
      </c>
      <c r="AW25" s="3">
        <f t="shared" si="57"/>
        <v>0.49493829763015401</v>
      </c>
      <c r="AX25" s="3">
        <f t="shared" si="57"/>
        <v>0.49246698054603211</v>
      </c>
      <c r="AY25" s="3">
        <f t="shared" si="57"/>
        <v>0.4896538008635547</v>
      </c>
      <c r="AZ25" s="3">
        <f t="shared" si="57"/>
        <v>0.48648193268311984</v>
      </c>
      <c r="BA25" s="3">
        <f t="shared" si="57"/>
        <v>0.48293354533870214</v>
      </c>
      <c r="BC25" s="3" t="s">
        <v>112</v>
      </c>
      <c r="BD25" s="3">
        <v>0.1</v>
      </c>
    </row>
    <row r="26" spans="1:154" s="3" customFormat="1" x14ac:dyDescent="0.2">
      <c r="B26" s="3" t="s">
        <v>21</v>
      </c>
      <c r="C26" s="3">
        <f t="shared" ref="C26:T26" si="58">+C20/C10</f>
        <v>0.38592615967182076</v>
      </c>
      <c r="D26" s="3">
        <f t="shared" si="58"/>
        <v>0.37881559942224363</v>
      </c>
      <c r="E26" s="3">
        <f t="shared" si="58"/>
        <v>0.37419673751853683</v>
      </c>
      <c r="F26" s="3">
        <f t="shared" si="58"/>
        <v>0.38592615967182076</v>
      </c>
      <c r="G26" s="3">
        <f t="shared" si="58"/>
        <v>0.37549345924607169</v>
      </c>
      <c r="H26" s="3">
        <f t="shared" si="58"/>
        <v>0.35194521784934907</v>
      </c>
      <c r="I26" s="3">
        <f t="shared" si="58"/>
        <v>0.3707487565533002</v>
      </c>
      <c r="J26" s="3">
        <f t="shared" si="58"/>
        <v>0.37366548042704628</v>
      </c>
      <c r="K26" s="3">
        <f t="shared" si="58"/>
        <v>0.40758239881596176</v>
      </c>
      <c r="L26" s="3">
        <f t="shared" si="58"/>
        <v>0.43798876528252012</v>
      </c>
      <c r="M26" s="3">
        <f t="shared" si="58"/>
        <v>0.45315203955500616</v>
      </c>
      <c r="N26" s="3">
        <f t="shared" si="58"/>
        <v>0.46856655461341629</v>
      </c>
      <c r="O26" s="3">
        <f t="shared" si="58"/>
        <v>0.22262097015371732</v>
      </c>
      <c r="P26" s="3">
        <f t="shared" si="58"/>
        <v>0.37379600688907316</v>
      </c>
      <c r="Q26" s="3">
        <f t="shared" si="58"/>
        <v>0.38279893506192847</v>
      </c>
      <c r="R26" s="3">
        <f t="shared" si="58"/>
        <v>0.37515287403179781</v>
      </c>
      <c r="S26" s="3">
        <f t="shared" si="58"/>
        <v>0.37879510411699252</v>
      </c>
      <c r="T26" s="3">
        <f t="shared" si="58"/>
        <v>0.36749591777927193</v>
      </c>
      <c r="U26" s="3">
        <f t="shared" ref="U26:V26" si="59">+U20/U10</f>
        <v>0.42273655547991829</v>
      </c>
      <c r="V26" s="3">
        <f t="shared" si="59"/>
        <v>0.42444353518821604</v>
      </c>
      <c r="W26" s="3">
        <f t="shared" ref="W26" si="60">+W20/W10</f>
        <v>0.42784259186711582</v>
      </c>
      <c r="AB26" s="3">
        <f t="shared" ref="AB26:AL26" si="61">+AB20/AB10</f>
        <v>0.33472371191355815</v>
      </c>
      <c r="AC26" s="3">
        <f t="shared" si="61"/>
        <v>0.32590393144403518</v>
      </c>
      <c r="AD26" s="3">
        <f t="shared" si="61"/>
        <v>0.34072840932255216</v>
      </c>
      <c r="AE26" s="3">
        <f t="shared" si="61"/>
        <v>0.34792088459741471</v>
      </c>
      <c r="AF26" s="3">
        <f t="shared" si="61"/>
        <v>0.34033220259679492</v>
      </c>
      <c r="AG26" s="3">
        <f t="shared" si="61"/>
        <v>0.31930006930006932</v>
      </c>
      <c r="AH26" s="3">
        <f t="shared" si="61"/>
        <v>0.38140992167101828</v>
      </c>
      <c r="AI26" s="3">
        <f t="shared" si="61"/>
        <v>0.36823765442962231</v>
      </c>
      <c r="AJ26" s="3">
        <f t="shared" si="61"/>
        <v>0.44302262753521959</v>
      </c>
      <c r="AK26" s="3">
        <f t="shared" si="61"/>
        <v>0.33995209096943635</v>
      </c>
      <c r="AL26" s="3">
        <f t="shared" si="61"/>
        <v>0.40119378795111171</v>
      </c>
      <c r="AM26" s="3">
        <f t="shared" ref="AM26:BA26" si="62">+AM20/AM10</f>
        <v>0.41690892145778241</v>
      </c>
      <c r="AN26" s="3">
        <f t="shared" si="62"/>
        <v>0.43176276576469719</v>
      </c>
      <c r="AO26" s="3">
        <f t="shared" si="62"/>
        <v>0.44588445938037319</v>
      </c>
      <c r="AP26" s="3">
        <f t="shared" si="62"/>
        <v>0.4593281477956912</v>
      </c>
      <c r="AQ26" s="3">
        <f t="shared" si="62"/>
        <v>0.47214318303670044</v>
      </c>
      <c r="AR26" s="3">
        <f t="shared" si="62"/>
        <v>0.48020524493178113</v>
      </c>
      <c r="AS26" s="3">
        <f t="shared" si="62"/>
        <v>0.48767174900387145</v>
      </c>
      <c r="AT26" s="3">
        <f t="shared" si="62"/>
        <v>0.49456926772319393</v>
      </c>
      <c r="AU26" s="3">
        <f t="shared" si="62"/>
        <v>0.50092216409052281</v>
      </c>
      <c r="AV26" s="3">
        <f t="shared" si="62"/>
        <v>0.50675272066766641</v>
      </c>
      <c r="AW26" s="3">
        <f t="shared" si="62"/>
        <v>0.51162984492658348</v>
      </c>
      <c r="AX26" s="3">
        <f t="shared" si="62"/>
        <v>0.51584170357591208</v>
      </c>
      <c r="AY26" s="3">
        <f t="shared" si="62"/>
        <v>0.51938667616258483</v>
      </c>
      <c r="AZ26" s="3">
        <f t="shared" si="62"/>
        <v>0.52226137556314356</v>
      </c>
      <c r="BA26" s="3">
        <f t="shared" si="62"/>
        <v>0.52446062521414061</v>
      </c>
      <c r="BC26" s="3" t="s">
        <v>74</v>
      </c>
      <c r="BD26" s="3">
        <v>0.03</v>
      </c>
    </row>
    <row r="27" spans="1:154" s="3" customFormat="1" x14ac:dyDescent="0.2">
      <c r="B27" s="3" t="s">
        <v>22</v>
      </c>
      <c r="C27" s="3">
        <f t="shared" ref="C27:S27" si="63">+C19/C18</f>
        <v>0.11585035243086933</v>
      </c>
      <c r="D27" s="3">
        <f t="shared" si="63"/>
        <v>0.11635220125786164</v>
      </c>
      <c r="E27" s="3">
        <f t="shared" si="63"/>
        <v>0.11754420050514863</v>
      </c>
      <c r="F27" s="3">
        <f t="shared" si="63"/>
        <v>0.11585035243086933</v>
      </c>
      <c r="G27" s="3">
        <f t="shared" si="63"/>
        <v>0.10133382734346054</v>
      </c>
      <c r="H27" s="3">
        <f t="shared" si="63"/>
        <v>0.10213092724131312</v>
      </c>
      <c r="I27" s="3">
        <f t="shared" si="63"/>
        <v>0.10162866449511401</v>
      </c>
      <c r="J27" s="3">
        <f t="shared" si="63"/>
        <v>0.10119229593396514</v>
      </c>
      <c r="K27" s="3">
        <f t="shared" si="63"/>
        <v>0.10689784208556817</v>
      </c>
      <c r="L27" s="3">
        <f t="shared" si="63"/>
        <v>0.10960591133004927</v>
      </c>
      <c r="M27" s="3">
        <f t="shared" si="63"/>
        <v>0.11389345451029682</v>
      </c>
      <c r="N27" s="3">
        <f t="shared" si="63"/>
        <v>0.11687943262411347</v>
      </c>
      <c r="O27" s="3">
        <f t="shared" si="63"/>
        <v>0.24792887452010506</v>
      </c>
      <c r="P27" s="3">
        <f t="shared" si="63"/>
        <v>0.15488895298528987</v>
      </c>
      <c r="Q27" s="3">
        <f t="shared" si="63"/>
        <v>0.12950776520136878</v>
      </c>
      <c r="R27" s="3">
        <f t="shared" si="63"/>
        <v>0.14554317548746518</v>
      </c>
      <c r="S27" s="3">
        <f t="shared" si="63"/>
        <v>0.15546367395156527</v>
      </c>
      <c r="T27" s="3">
        <f t="shared" ref="T27:U27" si="64">+T19/T18</f>
        <v>0.19154780771262547</v>
      </c>
      <c r="U27" s="3">
        <f t="shared" si="64"/>
        <v>0.15538932335940156</v>
      </c>
      <c r="V27" s="3">
        <f t="shared" ref="V27:W27" si="65">+V19/V18</f>
        <v>0.16781240017678281</v>
      </c>
      <c r="W27" s="3">
        <f t="shared" si="65"/>
        <v>0.16346089768680619</v>
      </c>
      <c r="AB27" s="3">
        <f t="shared" ref="AB27:AL27" si="66">+AB19/AB18</f>
        <v>0.13044375644994841</v>
      </c>
      <c r="AC27" s="3">
        <f t="shared" si="66"/>
        <v>0.13764296369965193</v>
      </c>
      <c r="AD27" s="3">
        <f t="shared" si="66"/>
        <v>0.13780949105914719</v>
      </c>
      <c r="AE27" s="3">
        <f t="shared" si="66"/>
        <v>0.13477924089852827</v>
      </c>
      <c r="AF27" s="3">
        <f t="shared" si="66"/>
        <v>0.11659328981326855</v>
      </c>
      <c r="AG27" s="3">
        <f t="shared" si="66"/>
        <v>0.11521843494959194</v>
      </c>
      <c r="AH27" s="3">
        <f t="shared" si="66"/>
        <v>0.1163803532542947</v>
      </c>
      <c r="AI27" s="3">
        <f t="shared" si="66"/>
        <v>0.1015500880243892</v>
      </c>
      <c r="AJ27" s="3">
        <f t="shared" si="66"/>
        <v>0.11223492750944093</v>
      </c>
      <c r="AK27" s="3">
        <f t="shared" si="66"/>
        <v>0.16154749617396874</v>
      </c>
      <c r="AL27" s="3">
        <f t="shared" si="66"/>
        <v>0.16737417677938449</v>
      </c>
      <c r="AM27" s="3">
        <f t="shared" ref="AM27:BA27" si="67">+AM19/AM18</f>
        <v>0.13</v>
      </c>
      <c r="AN27" s="3">
        <f t="shared" si="67"/>
        <v>0.13</v>
      </c>
      <c r="AO27" s="3">
        <f t="shared" si="67"/>
        <v>0.13</v>
      </c>
      <c r="AP27" s="3">
        <f t="shared" si="67"/>
        <v>0.13</v>
      </c>
      <c r="AQ27" s="3">
        <f t="shared" si="67"/>
        <v>0.13</v>
      </c>
      <c r="AR27" s="3">
        <f t="shared" si="67"/>
        <v>0.13</v>
      </c>
      <c r="AS27" s="3">
        <f t="shared" si="67"/>
        <v>0.13</v>
      </c>
      <c r="AT27" s="3">
        <f t="shared" si="67"/>
        <v>0.13</v>
      </c>
      <c r="AU27" s="3">
        <f t="shared" si="67"/>
        <v>0.13</v>
      </c>
      <c r="AV27" s="3">
        <f t="shared" si="67"/>
        <v>0.13</v>
      </c>
      <c r="AW27" s="3">
        <f t="shared" si="67"/>
        <v>0.13</v>
      </c>
      <c r="AX27" s="3">
        <f t="shared" si="67"/>
        <v>0.13</v>
      </c>
      <c r="AY27" s="3">
        <f t="shared" si="67"/>
        <v>0.13</v>
      </c>
      <c r="AZ27" s="3">
        <f t="shared" si="67"/>
        <v>0.13</v>
      </c>
      <c r="BA27" s="3">
        <f t="shared" si="67"/>
        <v>0.13</v>
      </c>
      <c r="BC27" s="3" t="s">
        <v>113</v>
      </c>
      <c r="BD27" s="1">
        <f>+NPV(BD25,AM20:EX20)</f>
        <v>1169244.9095054963</v>
      </c>
    </row>
    <row r="28" spans="1:154" x14ac:dyDescent="0.2">
      <c r="A28" s="3"/>
      <c r="B28" s="3"/>
      <c r="C28" s="3"/>
      <c r="D28" s="3"/>
      <c r="E28" s="3"/>
      <c r="F28" s="3"/>
      <c r="BC28" s="3" t="s">
        <v>0</v>
      </c>
      <c r="BD28" s="4">
        <f>+(BD27+Main!L7-Main!L8)/Main!L5</f>
        <v>236.23643594151264</v>
      </c>
    </row>
    <row r="29" spans="1:154" s="5" customFormat="1" x14ac:dyDescent="0.2">
      <c r="B29" s="5" t="s">
        <v>23</v>
      </c>
      <c r="G29" s="5">
        <f t="shared" ref="G29:V29" si="68">+G10/C10-1</f>
        <v>1.9170085200378661E-2</v>
      </c>
      <c r="H29" s="5">
        <f t="shared" si="68"/>
        <v>0.27963408762638431</v>
      </c>
      <c r="I29" s="5">
        <f t="shared" si="68"/>
        <v>0.22573735376503534</v>
      </c>
      <c r="J29" s="5">
        <f t="shared" si="68"/>
        <v>0.24140107289365731</v>
      </c>
      <c r="K29" s="5">
        <f t="shared" si="68"/>
        <v>0.35978016874371077</v>
      </c>
      <c r="L29" s="5">
        <f t="shared" si="68"/>
        <v>0.36639325758145835</v>
      </c>
      <c r="M29" s="5">
        <f t="shared" si="68"/>
        <v>0.35938970291705874</v>
      </c>
      <c r="N29" s="5">
        <f t="shared" si="68"/>
        <v>0.26658617183528222</v>
      </c>
      <c r="O29" s="5">
        <f t="shared" si="68"/>
        <v>-4.8272328798315001E-2</v>
      </c>
      <c r="P29" s="5">
        <f t="shared" si="68"/>
        <v>-0.13663399052759118</v>
      </c>
      <c r="Q29" s="5">
        <f t="shared" si="68"/>
        <v>-0.14571075401730527</v>
      </c>
      <c r="R29" s="5">
        <f t="shared" si="68"/>
        <v>-1.5403140835883788E-2</v>
      </c>
      <c r="S29" s="5">
        <f t="shared" si="68"/>
        <v>0.12883545666606855</v>
      </c>
      <c r="T29" s="5">
        <f t="shared" si="68"/>
        <v>0.32818779103144724</v>
      </c>
      <c r="U29" s="5">
        <f t="shared" si="68"/>
        <v>0.36034263224910301</v>
      </c>
      <c r="V29" s="5">
        <f t="shared" si="68"/>
        <v>0.36995515695067271</v>
      </c>
      <c r="W29" s="5">
        <f>+W10/S10-1</f>
        <v>0.35251417368727811</v>
      </c>
      <c r="AA29" s="3">
        <f>+(AL29/AC29)^(1/9)-1</f>
        <v>0.20279302651644326</v>
      </c>
      <c r="AC29" s="5">
        <f t="shared" ref="AC29:AL29" si="69">+AC10/AB10-1</f>
        <v>5.6926071584634252E-2</v>
      </c>
      <c r="AD29" s="5">
        <f t="shared" si="69"/>
        <v>0.10629181387656916</v>
      </c>
      <c r="AE29" s="5">
        <f t="shared" si="69"/>
        <v>9.074539648026092E-2</v>
      </c>
      <c r="AF29" s="5">
        <f t="shared" si="69"/>
        <v>6.5130042049525105E-2</v>
      </c>
      <c r="AG29" s="5">
        <f t="shared" si="69"/>
        <v>1.2750029243186356E-2</v>
      </c>
      <c r="AH29" s="5">
        <f t="shared" si="69"/>
        <v>0.38239200739200729</v>
      </c>
      <c r="AI29" s="5">
        <f t="shared" si="69"/>
        <v>0.18688250652741512</v>
      </c>
      <c r="AJ29" s="5">
        <f t="shared" si="69"/>
        <v>0.33541586005420432</v>
      </c>
      <c r="AK29" s="5">
        <f t="shared" si="69"/>
        <v>-8.6754259959673674E-2</v>
      </c>
      <c r="AL29" s="5">
        <f t="shared" si="69"/>
        <v>0.29993650610407219</v>
      </c>
      <c r="AM29" s="5">
        <f t="shared" ref="AM29:BA29" si="70">+AM10/AL10-1</f>
        <v>0.12999999999999989</v>
      </c>
      <c r="AN29" s="5">
        <f t="shared" si="70"/>
        <v>0.12999999999999989</v>
      </c>
      <c r="AO29" s="5">
        <f t="shared" si="70"/>
        <v>0.12999999999999989</v>
      </c>
      <c r="AP29" s="5">
        <f t="shared" si="70"/>
        <v>0.12999999999999989</v>
      </c>
      <c r="AQ29" s="5">
        <f t="shared" si="70"/>
        <v>0.12999999999999989</v>
      </c>
      <c r="AR29" s="5">
        <f t="shared" si="70"/>
        <v>0.10000000000000009</v>
      </c>
      <c r="AS29" s="5">
        <f t="shared" si="70"/>
        <v>0.10000000000000009</v>
      </c>
      <c r="AT29" s="5">
        <f t="shared" si="70"/>
        <v>0.10000000000000009</v>
      </c>
      <c r="AU29" s="5">
        <f t="shared" si="70"/>
        <v>0.10000000000000009</v>
      </c>
      <c r="AV29" s="5">
        <f t="shared" si="70"/>
        <v>0.10000000000000009</v>
      </c>
      <c r="AW29" s="5">
        <f t="shared" si="70"/>
        <v>8.0000000000000071E-2</v>
      </c>
      <c r="AX29" s="5">
        <f t="shared" si="70"/>
        <v>8.0000000000000071E-2</v>
      </c>
      <c r="AY29" s="5">
        <f t="shared" si="70"/>
        <v>8.0000000000000071E-2</v>
      </c>
      <c r="AZ29" s="5">
        <f t="shared" si="70"/>
        <v>8.0000000000000071E-2</v>
      </c>
      <c r="BA29" s="5">
        <f t="shared" si="70"/>
        <v>8.0000000000000071E-2</v>
      </c>
      <c r="BC29" s="3" t="s">
        <v>114</v>
      </c>
      <c r="BD29" s="4">
        <v>144</v>
      </c>
    </row>
    <row r="30" spans="1:154" s="3" customFormat="1" x14ac:dyDescent="0.2">
      <c r="B30" s="13" t="s">
        <v>60</v>
      </c>
      <c r="L30" s="3">
        <f t="shared" ref="L30:U30" si="71">+L3/H3-1</f>
        <v>0.50653615579494127</v>
      </c>
      <c r="M30" s="3" t="e">
        <f t="shared" si="71"/>
        <v>#DIV/0!</v>
      </c>
      <c r="N30" s="3">
        <f t="shared" si="71"/>
        <v>0.4377464653265366</v>
      </c>
      <c r="O30" s="3">
        <f t="shared" si="71"/>
        <v>2.1366281289613154E-2</v>
      </c>
      <c r="P30" s="3">
        <f t="shared" si="71"/>
        <v>-0.11655571123753505</v>
      </c>
      <c r="Q30" s="3">
        <f t="shared" si="71"/>
        <v>-7.9996196634021244E-2</v>
      </c>
      <c r="R30" s="3">
        <f t="shared" si="71"/>
        <v>8.0396415251664521E-3</v>
      </c>
      <c r="S30" s="3">
        <f t="shared" si="71"/>
        <v>0.180146159241799</v>
      </c>
      <c r="T30" s="3">
        <f t="shared" si="71"/>
        <v>0.38855996335105858</v>
      </c>
      <c r="U30" s="3">
        <f t="shared" si="71"/>
        <v>0.65184462487391093</v>
      </c>
      <c r="V30" s="3">
        <f>+V3/R3-1</f>
        <v>0.68854937949734074</v>
      </c>
      <c r="W30" s="3">
        <f>+W3/S3-1</f>
        <v>0.7347464401641175</v>
      </c>
      <c r="BC30" s="3" t="s">
        <v>115</v>
      </c>
      <c r="BD30" s="3">
        <f>+BD28/BD29-1</f>
        <v>0.64053080514939342</v>
      </c>
    </row>
    <row r="32" spans="1:154" x14ac:dyDescent="0.2">
      <c r="B32" s="13" t="s">
        <v>61</v>
      </c>
      <c r="S32" s="1">
        <f>+S33-S42</f>
        <v>34163</v>
      </c>
      <c r="T32" s="1">
        <f>+T33-T42</f>
        <v>36949</v>
      </c>
      <c r="U32" s="1">
        <f>+U33-U42</f>
        <v>41925</v>
      </c>
      <c r="V32" s="1">
        <f>+V33-V42</f>
        <v>48357</v>
      </c>
      <c r="W32" s="1">
        <f>+W33-W42</f>
        <v>55830</v>
      </c>
      <c r="AL32" s="1">
        <f>+AL33-AL42</f>
        <v>48357</v>
      </c>
      <c r="AM32" s="1">
        <f>+AL32+AM20</f>
        <v>90795.739199999996</v>
      </c>
      <c r="AN32" s="1">
        <f t="shared" ref="AN32:BA32" si="72">+AM32+AN20</f>
        <v>140460.10738811997</v>
      </c>
      <c r="AO32" s="1">
        <f t="shared" si="72"/>
        <v>198416.38810285984</v>
      </c>
      <c r="AP32" s="1">
        <f t="shared" si="72"/>
        <v>265881.5667619895</v>
      </c>
      <c r="AQ32" s="1">
        <f t="shared" si="72"/>
        <v>344244.15680684184</v>
      </c>
      <c r="AR32" s="1">
        <f t="shared" si="72"/>
        <v>431914.89082940051</v>
      </c>
      <c r="AS32" s="1">
        <f t="shared" si="72"/>
        <v>529852.16809433128</v>
      </c>
      <c r="AT32" s="1">
        <f t="shared" si="72"/>
        <v>639106.89601023786</v>
      </c>
      <c r="AU32" s="1">
        <f t="shared" si="72"/>
        <v>760830.84884777409</v>
      </c>
      <c r="AV32" s="1">
        <f t="shared" si="72"/>
        <v>896285.70303878747</v>
      </c>
      <c r="AW32" s="1">
        <f t="shared" si="72"/>
        <v>1043984.8917658484</v>
      </c>
      <c r="AX32" s="1">
        <f t="shared" si="72"/>
        <v>1204813.1820543762</v>
      </c>
      <c r="AY32" s="1">
        <f t="shared" si="72"/>
        <v>1379701.4010381352</v>
      </c>
      <c r="AZ32" s="1">
        <f t="shared" si="72"/>
        <v>1569626.0858420769</v>
      </c>
      <c r="BA32" s="1">
        <f t="shared" si="72"/>
        <v>1775608.5028545281</v>
      </c>
    </row>
    <row r="33" spans="1:38" x14ac:dyDescent="0.2">
      <c r="B33" s="13" t="s">
        <v>3</v>
      </c>
      <c r="S33" s="1">
        <f>53074+7015+4328</f>
        <v>64417</v>
      </c>
      <c r="T33" s="1">
        <f>55375+7679+4316</f>
        <v>67370</v>
      </c>
      <c r="U33" s="1">
        <f>59636+8876+4025</f>
        <v>72537</v>
      </c>
      <c r="V33" s="1">
        <f>64930+8984+4548</f>
        <v>78462</v>
      </c>
      <c r="W33" s="1">
        <f>72122+9284+4842</f>
        <v>86248</v>
      </c>
      <c r="AL33" s="1">
        <f>64930+8984+4548</f>
        <v>78462</v>
      </c>
    </row>
    <row r="34" spans="1:38" x14ac:dyDescent="0.2">
      <c r="B34" s="13" t="s">
        <v>62</v>
      </c>
      <c r="S34" s="1">
        <v>6312</v>
      </c>
      <c r="T34" s="1">
        <v>6470</v>
      </c>
      <c r="U34" s="1">
        <v>7901</v>
      </c>
      <c r="V34" s="1">
        <v>8304</v>
      </c>
      <c r="W34" s="1">
        <v>7347</v>
      </c>
      <c r="AL34" s="1">
        <v>8304</v>
      </c>
    </row>
    <row r="35" spans="1:38" x14ac:dyDescent="0.2">
      <c r="B35" s="13" t="s">
        <v>63</v>
      </c>
      <c r="S35" s="1">
        <v>8348</v>
      </c>
      <c r="T35" s="1">
        <v>8387</v>
      </c>
      <c r="U35" s="1">
        <v>9257</v>
      </c>
      <c r="V35" s="1">
        <v>8785</v>
      </c>
      <c r="W35" s="1">
        <v>8836</v>
      </c>
      <c r="AL35" s="1">
        <v>8785</v>
      </c>
    </row>
    <row r="36" spans="1:38" x14ac:dyDescent="0.2">
      <c r="B36" s="13" t="s">
        <v>65</v>
      </c>
      <c r="S36" s="1">
        <v>1907</v>
      </c>
      <c r="T36" s="1">
        <v>1857</v>
      </c>
      <c r="U36" s="1">
        <v>2006</v>
      </c>
      <c r="V36" s="1">
        <v>3246</v>
      </c>
      <c r="W36" s="1">
        <v>3169</v>
      </c>
      <c r="AL36" s="1">
        <v>3246</v>
      </c>
    </row>
    <row r="37" spans="1:38" x14ac:dyDescent="0.2">
      <c r="B37" s="13" t="s">
        <v>66</v>
      </c>
      <c r="S37" s="1">
        <v>95379</v>
      </c>
      <c r="T37" s="1">
        <v>95594</v>
      </c>
      <c r="U37" s="1">
        <v>97086</v>
      </c>
      <c r="V37" s="1">
        <v>98724</v>
      </c>
      <c r="W37" s="1">
        <v>102419</v>
      </c>
      <c r="AL37" s="1">
        <v>98724</v>
      </c>
    </row>
    <row r="38" spans="1:38" x14ac:dyDescent="0.2">
      <c r="B38" s="13" t="s">
        <v>122</v>
      </c>
      <c r="S38" s="1">
        <v>4526</v>
      </c>
      <c r="T38" s="1">
        <v>4451</v>
      </c>
      <c r="U38" s="1">
        <v>6094</v>
      </c>
      <c r="V38" s="1">
        <v>6701</v>
      </c>
      <c r="W38" s="1">
        <v>6807</v>
      </c>
      <c r="AL38" s="1">
        <v>6701</v>
      </c>
    </row>
    <row r="39" spans="1:38" s="7" customFormat="1" x14ac:dyDescent="0.2">
      <c r="A39" s="6"/>
      <c r="B39" s="14" t="s">
        <v>67</v>
      </c>
      <c r="C39" s="6"/>
      <c r="D39" s="6"/>
      <c r="E39" s="6"/>
      <c r="F39" s="6"/>
      <c r="S39" s="7">
        <f>+SUM(S33:S38)</f>
        <v>180889</v>
      </c>
      <c r="T39" s="7">
        <f>+SUM(T33:T38)</f>
        <v>184129</v>
      </c>
      <c r="U39" s="7">
        <f>+SUM(U33:U38)</f>
        <v>194881</v>
      </c>
      <c r="V39" s="7">
        <f>+SUM(V33:V38)</f>
        <v>204222</v>
      </c>
      <c r="W39" s="7">
        <f>+SUM(W33:W38)</f>
        <v>214826</v>
      </c>
      <c r="AL39" s="7">
        <f>+SUM(AL33:AL38)</f>
        <v>204222</v>
      </c>
    </row>
    <row r="40" spans="1:38" x14ac:dyDescent="0.2">
      <c r="B40" s="13" t="s">
        <v>68</v>
      </c>
      <c r="S40" s="1">
        <f>1800+3975+5673</f>
        <v>11448</v>
      </c>
      <c r="T40" s="1">
        <f>1968+4209+5990</f>
        <v>12167</v>
      </c>
      <c r="U40" s="1">
        <f>2239+3955+6557</f>
        <v>12751</v>
      </c>
      <c r="V40" s="1">
        <f>2265+5879+6726</f>
        <v>14870</v>
      </c>
      <c r="W40" s="1">
        <f>2315+5996+7029</f>
        <v>15340</v>
      </c>
      <c r="AL40" s="1">
        <f>2265+5879+6726</f>
        <v>14870</v>
      </c>
    </row>
    <row r="41" spans="1:38" x14ac:dyDescent="0.2">
      <c r="B41" s="13" t="s">
        <v>69</v>
      </c>
      <c r="S41" s="1">
        <v>20232</v>
      </c>
      <c r="T41" s="1">
        <v>19407</v>
      </c>
      <c r="U41" s="1">
        <v>19539</v>
      </c>
      <c r="V41" s="1">
        <v>21893</v>
      </c>
      <c r="W41" s="1">
        <v>24957</v>
      </c>
      <c r="AL41" s="1">
        <v>21893</v>
      </c>
    </row>
    <row r="42" spans="1:38" x14ac:dyDescent="0.2">
      <c r="B42" s="13" t="s">
        <v>4</v>
      </c>
      <c r="S42" s="1">
        <f>391+29863</f>
        <v>30254</v>
      </c>
      <c r="T42" s="1">
        <f>710+29711</f>
        <v>30421</v>
      </c>
      <c r="U42" s="1">
        <f>1859+28753</f>
        <v>30612</v>
      </c>
      <c r="V42" s="1">
        <f>1827+28278</f>
        <v>30105</v>
      </c>
      <c r="W42" s="1">
        <f>1860+28558</f>
        <v>30418</v>
      </c>
      <c r="AL42" s="1">
        <f>1827+28278</f>
        <v>30105</v>
      </c>
    </row>
    <row r="43" spans="1:38" x14ac:dyDescent="0.2">
      <c r="B43" s="13" t="s">
        <v>104</v>
      </c>
      <c r="S43" s="1">
        <v>4390</v>
      </c>
      <c r="T43" s="1">
        <v>4555</v>
      </c>
      <c r="U43" s="1">
        <v>4856</v>
      </c>
      <c r="V43" s="1">
        <v>5409</v>
      </c>
      <c r="W43" s="1">
        <v>5529</v>
      </c>
      <c r="AL43" s="1">
        <v>5409</v>
      </c>
    </row>
    <row r="44" spans="1:38" s="7" customFormat="1" x14ac:dyDescent="0.2">
      <c r="A44" s="6"/>
      <c r="B44" s="14" t="s">
        <v>70</v>
      </c>
      <c r="C44" s="6"/>
      <c r="D44" s="6"/>
      <c r="E44" s="6"/>
      <c r="F44" s="6"/>
      <c r="S44" s="7">
        <f>+SUM(S40:S43)</f>
        <v>66324</v>
      </c>
      <c r="T44" s="7">
        <f>+SUM(T40:T43)</f>
        <v>66550</v>
      </c>
      <c r="U44" s="7">
        <f>+SUM(U40:U43)</f>
        <v>67758</v>
      </c>
      <c r="V44" s="7">
        <f>+SUM(V40:V43)</f>
        <v>72277</v>
      </c>
      <c r="W44" s="7">
        <f>+SUM(W40:W43)</f>
        <v>76244</v>
      </c>
      <c r="AL44" s="7">
        <f>+SUM(AL40:AL43)</f>
        <v>72277</v>
      </c>
    </row>
    <row r="45" spans="1:38" x14ac:dyDescent="0.2">
      <c r="B45" s="13" t="s">
        <v>71</v>
      </c>
      <c r="S45" s="1">
        <f>+S39-S44</f>
        <v>114565</v>
      </c>
      <c r="T45" s="1">
        <v>117579</v>
      </c>
      <c r="U45" s="1">
        <v>127123</v>
      </c>
      <c r="V45" s="1">
        <v>131945</v>
      </c>
      <c r="W45" s="1">
        <v>138582</v>
      </c>
      <c r="AL45" s="1">
        <v>131945</v>
      </c>
    </row>
    <row r="46" spans="1:38" x14ac:dyDescent="0.2">
      <c r="B46" s="13" t="s">
        <v>72</v>
      </c>
      <c r="S46" s="1">
        <f>+S44+S45</f>
        <v>180889</v>
      </c>
      <c r="T46" s="1">
        <f>+T44+T45</f>
        <v>184129</v>
      </c>
      <c r="U46" s="1">
        <f>+U44+U45</f>
        <v>194881</v>
      </c>
      <c r="V46" s="1">
        <f>+V44+V45</f>
        <v>204222</v>
      </c>
      <c r="W46" s="1">
        <f>+W44+W45</f>
        <v>214826</v>
      </c>
      <c r="AL46" s="1">
        <f>+AL44+AL45</f>
        <v>204222</v>
      </c>
    </row>
    <row r="48" spans="1:38" x14ac:dyDescent="0.2">
      <c r="B48" s="13" t="s">
        <v>73</v>
      </c>
      <c r="O48" s="1">
        <f>+SUM(L20:O20)</f>
        <v>30179</v>
      </c>
      <c r="P48" s="1">
        <f>+SUM(M20:P20)</f>
        <v>28086</v>
      </c>
      <c r="Q48" s="1">
        <f>+SUM(N20:Q20)</f>
        <v>25535</v>
      </c>
      <c r="R48" s="1">
        <f>+SUM(O20:R20)</f>
        <v>23558</v>
      </c>
      <c r="S48" s="1">
        <f>+SUM(P20:S20)</f>
        <v>26985</v>
      </c>
      <c r="T48" s="1">
        <f>+SUM(Q20:T20)</f>
        <v>28777</v>
      </c>
      <c r="U48" s="1">
        <f>+SUM(R20:U20)</f>
        <v>32099</v>
      </c>
      <c r="V48" s="1">
        <f>+SUM(S20:V20)</f>
        <v>36147.74</v>
      </c>
      <c r="W48" s="1">
        <f>+SUM(T20:W20)</f>
        <v>39919.85</v>
      </c>
      <c r="AL48" s="1">
        <f>+AL20</f>
        <v>36140.74</v>
      </c>
    </row>
    <row r="49" spans="1:38" s="3" customFormat="1" x14ac:dyDescent="0.2">
      <c r="B49" s="13" t="s">
        <v>74</v>
      </c>
      <c r="S49" s="3">
        <f>+S48/(S36+S34+S35+S37+S38)</f>
        <v>0.23168658561714403</v>
      </c>
      <c r="T49" s="3">
        <f>+T48/(T36+T34+T35+T37+T38)</f>
        <v>0.24646494060415042</v>
      </c>
      <c r="U49" s="3">
        <f>+U48/(U36+U34+U35+U37+U38)</f>
        <v>0.26236676911005036</v>
      </c>
      <c r="V49" s="3">
        <f>+V48/(V36+V34+V35+V37+V38)</f>
        <v>0.28743431933842239</v>
      </c>
      <c r="W49" s="3">
        <f>+W48/(W36+W34+W35+W37+W38)</f>
        <v>0.31047185366081287</v>
      </c>
      <c r="AL49" s="3">
        <f>+AL48/(AL36+AL34+AL35+AL37+AL38)</f>
        <v>0.28737865776081423</v>
      </c>
    </row>
    <row r="51" spans="1:38" x14ac:dyDescent="0.2">
      <c r="B51" s="13" t="s">
        <v>75</v>
      </c>
      <c r="S51" s="1">
        <f>+S20</f>
        <v>7149</v>
      </c>
      <c r="T51" s="1">
        <f>+T20</f>
        <v>7652</v>
      </c>
      <c r="U51" s="1">
        <f>+U20</f>
        <v>9936</v>
      </c>
      <c r="V51" s="1">
        <f>+V20</f>
        <v>11410.74</v>
      </c>
      <c r="W51" s="1">
        <f>+W20</f>
        <v>10921.109999999999</v>
      </c>
      <c r="AL51" s="1">
        <f>+AL20</f>
        <v>36140.74</v>
      </c>
    </row>
    <row r="52" spans="1:38" x14ac:dyDescent="0.2">
      <c r="B52" s="13" t="s">
        <v>76</v>
      </c>
      <c r="S52" s="1">
        <v>8488</v>
      </c>
      <c r="T52" s="1">
        <f>17959-S52</f>
        <v>9471</v>
      </c>
      <c r="U52" s="1">
        <f>29856-SUM(S52:T52)</f>
        <v>11897</v>
      </c>
      <c r="V52" s="1">
        <f>+AL52-SUM(S52:U52)</f>
        <v>13900</v>
      </c>
      <c r="W52" s="1">
        <v>13106</v>
      </c>
      <c r="AL52" s="1">
        <v>43756</v>
      </c>
    </row>
    <row r="53" spans="1:38" x14ac:dyDescent="0.2">
      <c r="B53" s="13" t="s">
        <v>77</v>
      </c>
      <c r="S53" s="1">
        <v>5064</v>
      </c>
      <c r="T53" s="1">
        <f>10164-S53</f>
        <v>5100</v>
      </c>
      <c r="U53" s="1">
        <f>15362-SUM(S53:T53)</f>
        <v>5198</v>
      </c>
      <c r="V53" s="1">
        <f t="shared" ref="V53:V56" si="73">+AL53-SUM(S53:U53)</f>
        <v>5267</v>
      </c>
      <c r="W53" s="1">
        <v>5327</v>
      </c>
      <c r="AL53" s="1">
        <v>20629</v>
      </c>
    </row>
    <row r="54" spans="1:38" x14ac:dyDescent="0.2">
      <c r="B54" s="13" t="s">
        <v>78</v>
      </c>
      <c r="S54" s="1">
        <v>-28</v>
      </c>
      <c r="T54" s="1">
        <f>-63-S54</f>
        <v>-35</v>
      </c>
      <c r="U54" s="1">
        <f>-112-SUM(S54:T54)</f>
        <v>-49</v>
      </c>
      <c r="V54" s="1">
        <f t="shared" si="73"/>
        <v>-40</v>
      </c>
      <c r="W54" s="1">
        <v>-41</v>
      </c>
      <c r="AL54" s="1">
        <v>-152</v>
      </c>
    </row>
    <row r="55" spans="1:38" x14ac:dyDescent="0.2">
      <c r="B55" s="13" t="s">
        <v>16</v>
      </c>
      <c r="S55" s="1">
        <v>-34</v>
      </c>
      <c r="T55" s="1">
        <f>-2795-S55</f>
        <v>-2761</v>
      </c>
      <c r="U55" s="1">
        <f>-5692-SUM(S55:T55)</f>
        <v>-2897</v>
      </c>
      <c r="V55" s="1">
        <f t="shared" si="73"/>
        <v>-23</v>
      </c>
      <c r="W55" s="1">
        <v>-47</v>
      </c>
      <c r="AL55" s="1">
        <v>-5715</v>
      </c>
    </row>
    <row r="56" spans="1:38" x14ac:dyDescent="0.2">
      <c r="B56" s="13" t="s">
        <v>79</v>
      </c>
      <c r="S56" s="1">
        <v>404</v>
      </c>
      <c r="T56" s="1">
        <f>254-S56</f>
        <v>-150</v>
      </c>
      <c r="U56" s="1">
        <f>-1792-SUM(S56:T56)</f>
        <v>-2046</v>
      </c>
      <c r="V56" s="1">
        <f t="shared" si="73"/>
        <v>113</v>
      </c>
      <c r="W56" s="1">
        <v>682</v>
      </c>
      <c r="AL56" s="1">
        <v>-1679</v>
      </c>
    </row>
    <row r="57" spans="1:38" s="7" customFormat="1" x14ac:dyDescent="0.2">
      <c r="A57" s="6"/>
      <c r="B57" s="14" t="s">
        <v>80</v>
      </c>
      <c r="C57" s="6"/>
      <c r="D57" s="6"/>
      <c r="E57" s="6"/>
      <c r="F57" s="6"/>
      <c r="S57" s="7">
        <f>+SUM(S52:S56)</f>
        <v>13894</v>
      </c>
      <c r="T57" s="7">
        <f>+SUM(T52:T56)</f>
        <v>11625</v>
      </c>
      <c r="U57" s="7">
        <f>+SUM(U52:U56)</f>
        <v>12103</v>
      </c>
      <c r="V57" s="7">
        <f>+SUM(V52:V56)</f>
        <v>19217</v>
      </c>
      <c r="W57" s="7">
        <f>+SUM(W52:W56)</f>
        <v>19027</v>
      </c>
      <c r="AB57" s="7">
        <v>13910</v>
      </c>
      <c r="AC57" s="7">
        <v>16714</v>
      </c>
      <c r="AD57" s="7">
        <v>16762</v>
      </c>
      <c r="AE57" s="7">
        <v>19226</v>
      </c>
      <c r="AF57" s="7">
        <v>19028</v>
      </c>
      <c r="AG57" s="7">
        <v>19911</v>
      </c>
      <c r="AH57" s="7">
        <v>27952</v>
      </c>
      <c r="AI57" s="7">
        <v>39810</v>
      </c>
      <c r="AJ57" s="7">
        <v>53984</v>
      </c>
      <c r="AK57" s="7">
        <v>39813</v>
      </c>
      <c r="AL57" s="7">
        <f>+SUM(AL52:AL56)</f>
        <v>56839</v>
      </c>
    </row>
    <row r="59" spans="1:38" x14ac:dyDescent="0.2">
      <c r="B59" s="13" t="s">
        <v>81</v>
      </c>
      <c r="S59" s="1">
        <v>554</v>
      </c>
      <c r="T59" s="1">
        <f>1148-S59</f>
        <v>594</v>
      </c>
      <c r="U59" s="1">
        <f>1808-SUM(S59:T59)</f>
        <v>660</v>
      </c>
      <c r="V59" s="1">
        <f t="shared" ref="V59:V63" si="74">+AL59-SUM(S59:U59)</f>
        <v>571</v>
      </c>
      <c r="W59" s="1">
        <v>742</v>
      </c>
      <c r="AL59" s="1">
        <v>2379</v>
      </c>
    </row>
    <row r="60" spans="1:38" x14ac:dyDescent="0.2">
      <c r="B60" s="13" t="s">
        <v>82</v>
      </c>
      <c r="S60" s="1">
        <v>3</v>
      </c>
      <c r="T60" s="1">
        <f>28-S60</f>
        <v>25</v>
      </c>
      <c r="U60" s="1">
        <f>103-SUM(S60:T60)</f>
        <v>75</v>
      </c>
      <c r="V60" s="1">
        <f t="shared" si="74"/>
        <v>6</v>
      </c>
      <c r="W60" s="1">
        <v>3</v>
      </c>
      <c r="AL60" s="1">
        <v>109</v>
      </c>
    </row>
    <row r="61" spans="1:38" x14ac:dyDescent="0.2">
      <c r="B61" s="13" t="s">
        <v>83</v>
      </c>
      <c r="S61" s="1">
        <f>-5774+1599+11</f>
        <v>-4164</v>
      </c>
      <c r="T61" s="1">
        <f>-12132+1371+4-S61</f>
        <v>-6593</v>
      </c>
      <c r="U61" s="1">
        <f>-18532+1059+5-SUM(S61:T61)</f>
        <v>-6711</v>
      </c>
      <c r="V61" s="1">
        <f>+AL61+8-SUM(S61:U61)</f>
        <v>-12279</v>
      </c>
      <c r="W61" s="1">
        <f>-10062+4</f>
        <v>-10058</v>
      </c>
      <c r="AB61" s="1">
        <v>-9522</v>
      </c>
      <c r="AC61" s="1">
        <v>-8123</v>
      </c>
      <c r="AD61" s="1">
        <v>-10186</v>
      </c>
      <c r="AE61" s="1">
        <v>-10859</v>
      </c>
      <c r="AF61" s="1">
        <v>-10463</v>
      </c>
      <c r="AG61" s="1">
        <v>-14903</v>
      </c>
      <c r="AH61" s="1">
        <v>-17235</v>
      </c>
      <c r="AI61" s="1">
        <v>-30039</v>
      </c>
      <c r="AJ61" s="1">
        <v>-36289</v>
      </c>
      <c r="AK61" s="1">
        <v>-30448</v>
      </c>
      <c r="AL61" s="1">
        <v>-29755</v>
      </c>
    </row>
    <row r="62" spans="1:38" x14ac:dyDescent="0.2">
      <c r="B62" s="13" t="s">
        <v>105</v>
      </c>
      <c r="S62" s="1">
        <v>-1458</v>
      </c>
      <c r="T62" s="1">
        <f>-3419-S62</f>
        <v>-1961</v>
      </c>
      <c r="U62" s="1">
        <f>-5094-SUM(S62:T62)</f>
        <v>-1675</v>
      </c>
      <c r="V62" s="1">
        <f t="shared" si="74"/>
        <v>3395</v>
      </c>
      <c r="W62" s="1">
        <f>-2152+1640</f>
        <v>-512</v>
      </c>
      <c r="AL62" s="1">
        <f>-7489+5790</f>
        <v>-1699</v>
      </c>
    </row>
    <row r="63" spans="1:38" x14ac:dyDescent="0.2">
      <c r="B63" s="13" t="s">
        <v>64</v>
      </c>
      <c r="S63" s="1">
        <v>-24</v>
      </c>
      <c r="T63" s="1">
        <f>185-S63</f>
        <v>209</v>
      </c>
      <c r="U63" s="1">
        <f>417-SUM(S63:T63)</f>
        <v>232</v>
      </c>
      <c r="V63" s="1">
        <f t="shared" si="74"/>
        <v>1603</v>
      </c>
      <c r="W63" s="1">
        <v>998</v>
      </c>
      <c r="AL63" s="1">
        <v>2020</v>
      </c>
    </row>
    <row r="64" spans="1:38" s="7" customFormat="1" x14ac:dyDescent="0.2">
      <c r="A64" s="6"/>
      <c r="B64" s="14" t="s">
        <v>84</v>
      </c>
      <c r="C64" s="6"/>
      <c r="D64" s="6"/>
      <c r="E64" s="6"/>
      <c r="F64" s="6"/>
      <c r="S64" s="7">
        <f>+SUM(S59:S63)</f>
        <v>-5089</v>
      </c>
      <c r="T64" s="7">
        <f>+SUM(T59:T63)</f>
        <v>-7726</v>
      </c>
      <c r="U64" s="7">
        <f>+SUM(U59:U63)</f>
        <v>-7419</v>
      </c>
      <c r="V64" s="7">
        <f>+SUM(V59:V63)</f>
        <v>-6704</v>
      </c>
      <c r="W64" s="7">
        <f>+SUM(W59:W63)</f>
        <v>-8827</v>
      </c>
      <c r="AL64" s="7">
        <f>+SUM(AL59:AL63)</f>
        <v>-26946</v>
      </c>
    </row>
    <row r="66" spans="1:38" x14ac:dyDescent="0.2">
      <c r="B66" s="13" t="s">
        <v>87</v>
      </c>
      <c r="S66" s="1">
        <v>-844</v>
      </c>
      <c r="T66" s="1">
        <f>-831-S66</f>
        <v>13</v>
      </c>
      <c r="U66" s="1">
        <f>-826-SUM(S66:T66)</f>
        <v>5</v>
      </c>
      <c r="V66" s="1">
        <f t="shared" ref="V66:W76" si="75">+AL66-SUM(S66:U66)</f>
        <v>1</v>
      </c>
      <c r="W66" s="1">
        <v>0</v>
      </c>
      <c r="AL66" s="1">
        <v>-825</v>
      </c>
    </row>
    <row r="67" spans="1:38" x14ac:dyDescent="0.2">
      <c r="B67" s="13" t="s">
        <v>85</v>
      </c>
      <c r="S67" s="1">
        <v>726</v>
      </c>
      <c r="T67" s="1">
        <f>1075-S67</f>
        <v>349</v>
      </c>
      <c r="U67" s="1">
        <f>1070-SUM(S67:T67)</f>
        <v>-5</v>
      </c>
      <c r="V67" s="1">
        <f t="shared" si="75"/>
        <v>-2</v>
      </c>
      <c r="W67" s="1">
        <v>584</v>
      </c>
      <c r="AL67" s="1">
        <v>1068</v>
      </c>
    </row>
    <row r="68" spans="1:38" x14ac:dyDescent="0.2">
      <c r="B68" s="13" t="s">
        <v>86</v>
      </c>
      <c r="S68" s="1">
        <v>0</v>
      </c>
      <c r="T68" s="1">
        <v>0</v>
      </c>
      <c r="U68" s="1">
        <f>-164-SUM(S68:T68)</f>
        <v>-164</v>
      </c>
      <c r="V68" s="1">
        <f t="shared" si="75"/>
        <v>-54</v>
      </c>
      <c r="W68" s="1">
        <v>-91</v>
      </c>
      <c r="AL68" s="1">
        <v>-218</v>
      </c>
    </row>
    <row r="69" spans="1:38" x14ac:dyDescent="0.2">
      <c r="B69" s="13" t="s">
        <v>88</v>
      </c>
      <c r="S69" s="1">
        <v>203</v>
      </c>
      <c r="T69" s="1">
        <f>200-S69</f>
        <v>-3</v>
      </c>
      <c r="U69" s="1">
        <f>731-SUM(S69:T69)</f>
        <v>531</v>
      </c>
      <c r="V69" s="1">
        <f t="shared" si="75"/>
        <v>231</v>
      </c>
      <c r="W69" s="1">
        <v>164</v>
      </c>
      <c r="AL69" s="1">
        <v>962</v>
      </c>
    </row>
    <row r="70" spans="1:38" x14ac:dyDescent="0.2">
      <c r="B70" s="13" t="s">
        <v>89</v>
      </c>
      <c r="S70" s="1">
        <v>-16</v>
      </c>
      <c r="T70" s="1">
        <f>-33-S70</f>
        <v>-17</v>
      </c>
      <c r="U70" s="1">
        <f>-52-SUM(S70:T70)</f>
        <v>-19</v>
      </c>
      <c r="V70" s="1">
        <f t="shared" si="75"/>
        <v>-20</v>
      </c>
      <c r="W70" s="1">
        <v>-22</v>
      </c>
      <c r="AL70" s="1">
        <v>-72</v>
      </c>
    </row>
    <row r="71" spans="1:38" x14ac:dyDescent="0.2">
      <c r="B71" s="13" t="s">
        <v>90</v>
      </c>
      <c r="S71" s="1">
        <v>-57</v>
      </c>
      <c r="T71" s="1">
        <f>-264-S71</f>
        <v>-207</v>
      </c>
      <c r="U71" s="1">
        <f>-400-SUM(S71:T71)</f>
        <v>-136</v>
      </c>
      <c r="V71" s="1">
        <f t="shared" si="75"/>
        <v>-184</v>
      </c>
      <c r="W71" s="1">
        <v>-76</v>
      </c>
      <c r="AL71" s="1">
        <v>-584</v>
      </c>
    </row>
    <row r="72" spans="1:38" x14ac:dyDescent="0.2">
      <c r="B72" s="13" t="s">
        <v>82</v>
      </c>
      <c r="S72" s="1">
        <v>-2477</v>
      </c>
      <c r="T72" s="1">
        <f>-5284-S72</f>
        <v>-2807</v>
      </c>
      <c r="U72" s="1">
        <f>-8090-SUM(S72:T72)</f>
        <v>-2806</v>
      </c>
      <c r="V72" s="1">
        <f t="shared" si="75"/>
        <v>-3210</v>
      </c>
      <c r="W72" s="1">
        <v>-3155</v>
      </c>
      <c r="AL72" s="1">
        <v>-11300</v>
      </c>
    </row>
    <row r="73" spans="1:38" x14ac:dyDescent="0.2">
      <c r="B73" s="13" t="s">
        <v>94</v>
      </c>
      <c r="S73" s="1">
        <v>0</v>
      </c>
      <c r="T73" s="1">
        <v>-97</v>
      </c>
      <c r="U73" s="1">
        <f>-96-SUM(S73:T73)</f>
        <v>1</v>
      </c>
      <c r="V73" s="1">
        <f t="shared" si="75"/>
        <v>0</v>
      </c>
      <c r="W73" s="1">
        <v>0</v>
      </c>
      <c r="AL73" s="1">
        <v>-96</v>
      </c>
    </row>
    <row r="74" spans="1:38" x14ac:dyDescent="0.2">
      <c r="B74" s="13" t="s">
        <v>64</v>
      </c>
      <c r="S74" s="1">
        <v>182</v>
      </c>
      <c r="T74" s="1">
        <f>157-S74</f>
        <v>-25</v>
      </c>
      <c r="U74" s="1">
        <f>166-SUM(S74:T74)</f>
        <v>9</v>
      </c>
      <c r="V74" s="1">
        <f t="shared" si="75"/>
        <v>120</v>
      </c>
      <c r="W74" s="1">
        <v>21</v>
      </c>
      <c r="AL74" s="1">
        <v>286</v>
      </c>
    </row>
    <row r="75" spans="1:38" s="7" customFormat="1" x14ac:dyDescent="0.2">
      <c r="A75" s="6"/>
      <c r="B75" s="14" t="s">
        <v>91</v>
      </c>
      <c r="C75" s="6"/>
      <c r="D75" s="6"/>
      <c r="E75" s="6"/>
      <c r="F75" s="6"/>
      <c r="S75" s="7">
        <f>+SUM(S66:S74)</f>
        <v>-2283</v>
      </c>
      <c r="T75" s="7">
        <f>+SUM(T66:T74)</f>
        <v>-2794</v>
      </c>
      <c r="U75" s="7">
        <f>+SUM(U66:U74)</f>
        <v>-2584</v>
      </c>
      <c r="V75" s="7">
        <f>+SUM(V66:V74)</f>
        <v>-3118</v>
      </c>
      <c r="W75" s="7">
        <f>+SUM(W66:W74)</f>
        <v>-2575</v>
      </c>
      <c r="AL75" s="7">
        <f>+SUM(AL66:AL74)</f>
        <v>-10779</v>
      </c>
    </row>
    <row r="76" spans="1:38" x14ac:dyDescent="0.2">
      <c r="B76" s="13" t="s">
        <v>92</v>
      </c>
      <c r="S76" s="1">
        <v>890</v>
      </c>
      <c r="T76" s="1">
        <f>1225-S76</f>
        <v>335</v>
      </c>
      <c r="U76" s="1">
        <f>433-SUM(S76:T76)</f>
        <v>-792</v>
      </c>
      <c r="V76" s="1">
        <f t="shared" si="75"/>
        <v>1035</v>
      </c>
      <c r="W76" s="1">
        <v>501</v>
      </c>
      <c r="AL76" s="1">
        <v>1468</v>
      </c>
    </row>
    <row r="77" spans="1:38" x14ac:dyDescent="0.2">
      <c r="B77" s="13" t="s">
        <v>93</v>
      </c>
      <c r="S77" s="1">
        <f>+S57+S64+S75+S76</f>
        <v>7412</v>
      </c>
      <c r="T77" s="1">
        <f>+T57+T64+T75+T76</f>
        <v>1440</v>
      </c>
      <c r="U77" s="1">
        <f>+U57+U64+U75+U76</f>
        <v>1308</v>
      </c>
      <c r="V77" s="1">
        <f>+V57+V64+V75+V76</f>
        <v>10430</v>
      </c>
      <c r="W77" s="1">
        <f>+W57+W64+W75+W76</f>
        <v>8126</v>
      </c>
      <c r="AL77" s="1">
        <f>+AL57+AL64+AL75+AL76</f>
        <v>20582</v>
      </c>
    </row>
    <row r="79" spans="1:38" x14ac:dyDescent="0.2">
      <c r="B79" s="13" t="s">
        <v>95</v>
      </c>
      <c r="S79" s="1">
        <f>+S57+S61</f>
        <v>9730</v>
      </c>
      <c r="T79" s="1">
        <f>+T57+T61</f>
        <v>5032</v>
      </c>
      <c r="U79" s="1">
        <f>+U57+U61</f>
        <v>5392</v>
      </c>
      <c r="V79" s="1">
        <f>+V57+V61</f>
        <v>6938</v>
      </c>
      <c r="W79" s="1">
        <f>+W57+W61</f>
        <v>8969</v>
      </c>
      <c r="AB79" s="1">
        <f>+AB57+AB61</f>
        <v>4388</v>
      </c>
      <c r="AC79" s="1">
        <f t="shared" ref="AC79:AK79" si="76">+AC57+AC61</f>
        <v>8591</v>
      </c>
      <c r="AD79" s="1">
        <f t="shared" si="76"/>
        <v>6576</v>
      </c>
      <c r="AE79" s="1">
        <f t="shared" si="76"/>
        <v>8367</v>
      </c>
      <c r="AF79" s="1">
        <f t="shared" si="76"/>
        <v>8565</v>
      </c>
      <c r="AG79" s="1">
        <f t="shared" si="76"/>
        <v>5008</v>
      </c>
      <c r="AH79" s="1">
        <f t="shared" si="76"/>
        <v>10717</v>
      </c>
      <c r="AI79" s="1">
        <f t="shared" si="76"/>
        <v>9771</v>
      </c>
      <c r="AJ79" s="1">
        <f t="shared" si="76"/>
        <v>17695</v>
      </c>
      <c r="AK79" s="1">
        <f t="shared" si="76"/>
        <v>9365</v>
      </c>
      <c r="AL79" s="1">
        <f>+AL57+AL61</f>
        <v>27084</v>
      </c>
    </row>
    <row r="81" spans="2:38" s="10" customFormat="1" x14ac:dyDescent="0.2">
      <c r="B81" s="11" t="s">
        <v>106</v>
      </c>
      <c r="R81" s="10">
        <v>30.67</v>
      </c>
      <c r="S81" s="10">
        <v>31.4</v>
      </c>
      <c r="T81" s="10">
        <v>32.35</v>
      </c>
      <c r="U81" s="10">
        <v>32.055</v>
      </c>
      <c r="W81" s="10">
        <v>32.878</v>
      </c>
      <c r="AC81" s="1">
        <v>31.702999999999999</v>
      </c>
      <c r="AD81" s="10">
        <v>32.206000000000003</v>
      </c>
      <c r="AE81" s="10">
        <v>30.445</v>
      </c>
      <c r="AF81" s="10">
        <v>30.163</v>
      </c>
      <c r="AG81" s="10">
        <v>30.895</v>
      </c>
      <c r="AL81" s="10">
        <v>32.128999999999998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8B21B-819C-486E-984C-3D282FBC5565}">
  <dimension ref="B1:P17"/>
  <sheetViews>
    <sheetView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N29" sqref="N29"/>
    </sheetView>
  </sheetViews>
  <sheetFormatPr defaultRowHeight="12.75" x14ac:dyDescent="0.2"/>
  <cols>
    <col min="1" max="1" width="2.5703125" customWidth="1"/>
    <col min="2" max="2" width="27.28515625" customWidth="1"/>
    <col min="3" max="12" width="10.140625" bestFit="1" customWidth="1"/>
  </cols>
  <sheetData>
    <row r="1" spans="2:16" s="15" customFormat="1" x14ac:dyDescent="0.2">
      <c r="C1" s="15">
        <v>44561</v>
      </c>
      <c r="D1" s="15">
        <v>44651</v>
      </c>
      <c r="E1" s="15">
        <v>44742</v>
      </c>
      <c r="F1" s="15">
        <v>44834</v>
      </c>
      <c r="G1" s="15">
        <v>44926</v>
      </c>
      <c r="H1" s="15">
        <v>45016</v>
      </c>
      <c r="I1" s="15">
        <v>45107</v>
      </c>
      <c r="J1" s="15">
        <v>45199</v>
      </c>
      <c r="K1" s="15">
        <v>45291</v>
      </c>
      <c r="L1" s="15">
        <v>45382</v>
      </c>
      <c r="M1" s="15">
        <v>45473</v>
      </c>
      <c r="N1" s="15">
        <v>45565</v>
      </c>
      <c r="O1" s="15">
        <v>45657</v>
      </c>
      <c r="P1" s="15">
        <v>45747</v>
      </c>
    </row>
    <row r="2" spans="2:16" s="2" customFormat="1" x14ac:dyDescent="0.2">
      <c r="C2" s="2" t="s">
        <v>27</v>
      </c>
      <c r="D2" s="2" t="s">
        <v>28</v>
      </c>
      <c r="E2" s="2" t="s">
        <v>29</v>
      </c>
      <c r="F2" s="2" t="s">
        <v>30</v>
      </c>
      <c r="G2" s="2" t="s">
        <v>31</v>
      </c>
      <c r="H2" s="2" t="s">
        <v>32</v>
      </c>
      <c r="I2" s="2" t="s">
        <v>33</v>
      </c>
      <c r="J2" s="2" t="s">
        <v>34</v>
      </c>
      <c r="K2" s="2" t="s">
        <v>35</v>
      </c>
      <c r="L2" s="2" t="s">
        <v>6</v>
      </c>
      <c r="M2" s="2" t="s">
        <v>36</v>
      </c>
      <c r="N2" s="2" t="s">
        <v>37</v>
      </c>
      <c r="O2" s="2" t="s">
        <v>38</v>
      </c>
      <c r="P2" s="2" t="s">
        <v>107</v>
      </c>
    </row>
    <row r="3" spans="2:16" s="2" customFormat="1" x14ac:dyDescent="0.2">
      <c r="B3" s="16" t="s">
        <v>100</v>
      </c>
      <c r="D3" s="10">
        <f>+Model!K10</f>
        <v>17567</v>
      </c>
      <c r="E3" s="10">
        <f>+Model!L10</f>
        <v>18158</v>
      </c>
      <c r="F3" s="10">
        <f>+Model!M10</f>
        <v>20225</v>
      </c>
      <c r="G3" s="10">
        <f>+Model!N10</f>
        <v>19931</v>
      </c>
      <c r="H3" s="10">
        <f>+Model!O10</f>
        <v>16719</v>
      </c>
      <c r="I3" s="10">
        <f>+Model!P10</f>
        <v>15677</v>
      </c>
      <c r="J3" s="10">
        <f>+Model!Q10</f>
        <v>17278</v>
      </c>
      <c r="K3" s="10">
        <f>+Model!R10</f>
        <v>19624</v>
      </c>
      <c r="L3" s="10">
        <f>+Model!S10</f>
        <v>18873</v>
      </c>
      <c r="M3" s="10">
        <f>+Model!T10</f>
        <v>20822</v>
      </c>
      <c r="N3" s="10">
        <f>+Model!U10</f>
        <v>23504</v>
      </c>
      <c r="O3" s="10">
        <f>+Model!V10</f>
        <v>26884</v>
      </c>
      <c r="P3" s="10">
        <f>+Model!W10</f>
        <v>25526</v>
      </c>
    </row>
    <row r="4" spans="2:16" s="22" customFormat="1" x14ac:dyDescent="0.2">
      <c r="B4" s="21" t="s">
        <v>128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</row>
    <row r="5" spans="2:16" s="12" customFormat="1" x14ac:dyDescent="0.2">
      <c r="B5" s="13" t="s">
        <v>59</v>
      </c>
      <c r="H5" s="3"/>
      <c r="J5" s="12">
        <v>0.06</v>
      </c>
      <c r="K5" s="3">
        <v>0.15</v>
      </c>
      <c r="L5" s="3">
        <v>0.09</v>
      </c>
      <c r="M5" s="12">
        <v>0.15</v>
      </c>
      <c r="N5" s="12">
        <v>0.2</v>
      </c>
      <c r="O5" s="12">
        <v>0.26</v>
      </c>
      <c r="P5" s="12">
        <v>0.22</v>
      </c>
    </row>
    <row r="6" spans="2:16" s="3" customFormat="1" x14ac:dyDescent="0.2">
      <c r="B6" s="3" t="s">
        <v>49</v>
      </c>
      <c r="C6" s="3">
        <v>0.23</v>
      </c>
      <c r="D6" s="3">
        <v>0.2</v>
      </c>
      <c r="E6" s="3">
        <v>0.21</v>
      </c>
      <c r="F6" s="3">
        <v>0.28000000000000003</v>
      </c>
      <c r="G6" s="3">
        <v>0.32</v>
      </c>
      <c r="H6" s="3">
        <v>0.31</v>
      </c>
      <c r="I6" s="3">
        <v>0.3</v>
      </c>
      <c r="J6" s="3">
        <v>0.37</v>
      </c>
      <c r="K6" s="3">
        <v>0.35</v>
      </c>
      <c r="L6" s="3">
        <v>0.37</v>
      </c>
      <c r="M6" s="3">
        <v>0.35</v>
      </c>
      <c r="N6" s="3">
        <v>0.32</v>
      </c>
      <c r="O6" s="3">
        <v>0.34</v>
      </c>
      <c r="P6" s="3">
        <v>0.36</v>
      </c>
    </row>
    <row r="7" spans="2:16" s="3" customFormat="1" x14ac:dyDescent="0.2">
      <c r="B7" s="3" t="s">
        <v>50</v>
      </c>
      <c r="C7" s="3">
        <v>0.27</v>
      </c>
      <c r="D7" s="3">
        <v>0.3</v>
      </c>
      <c r="E7" s="3">
        <v>0.3</v>
      </c>
      <c r="F7" s="3">
        <v>0.26</v>
      </c>
      <c r="G7" s="3">
        <v>0.22</v>
      </c>
      <c r="H7" s="3">
        <v>0.2</v>
      </c>
      <c r="I7" s="3">
        <v>0.23</v>
      </c>
      <c r="J7" s="3">
        <v>0.16</v>
      </c>
      <c r="K7" s="3">
        <v>0.17</v>
      </c>
      <c r="L7" s="3">
        <v>0.19</v>
      </c>
      <c r="M7" s="3">
        <v>0.17</v>
      </c>
      <c r="N7" s="3">
        <v>0.17</v>
      </c>
      <c r="O7" s="3">
        <v>0.14000000000000001</v>
      </c>
      <c r="P7" s="3">
        <v>0.15</v>
      </c>
    </row>
    <row r="8" spans="2:16" s="5" customFormat="1" x14ac:dyDescent="0.2">
      <c r="B8" s="5" t="s">
        <v>129</v>
      </c>
      <c r="J8" s="5">
        <f t="shared" ref="J8:O8" si="0">+SUM(J5:J7)</f>
        <v>0.59</v>
      </c>
      <c r="K8" s="5">
        <f t="shared" si="0"/>
        <v>0.67</v>
      </c>
      <c r="L8" s="5">
        <f t="shared" si="0"/>
        <v>0.64999999999999991</v>
      </c>
      <c r="M8" s="5">
        <f t="shared" si="0"/>
        <v>0.67</v>
      </c>
      <c r="N8" s="5">
        <f t="shared" si="0"/>
        <v>0.69000000000000006</v>
      </c>
      <c r="O8" s="5">
        <f t="shared" si="0"/>
        <v>0.7400000000000001</v>
      </c>
      <c r="P8" s="5">
        <f>+SUM(P5:P7)</f>
        <v>0.73</v>
      </c>
    </row>
    <row r="9" spans="2:16" s="3" customFormat="1" x14ac:dyDescent="0.2">
      <c r="B9" s="3" t="s">
        <v>51</v>
      </c>
      <c r="C9" s="3">
        <v>0.13</v>
      </c>
      <c r="D9" s="3">
        <v>0.14000000000000001</v>
      </c>
      <c r="E9" s="3">
        <v>0.14000000000000001</v>
      </c>
      <c r="F9" s="3">
        <v>0.12</v>
      </c>
      <c r="G9" s="3">
        <v>0.12</v>
      </c>
      <c r="H9" s="3">
        <v>0.13</v>
      </c>
      <c r="I9" s="3">
        <v>0.11</v>
      </c>
      <c r="J9" s="3">
        <v>0.09</v>
      </c>
      <c r="K9" s="3">
        <v>0.08</v>
      </c>
      <c r="L9" s="3">
        <v>0.09</v>
      </c>
      <c r="M9" s="3">
        <v>0.09</v>
      </c>
      <c r="N9" s="3">
        <v>0.08</v>
      </c>
      <c r="O9" s="3">
        <v>7.0000000000000007E-2</v>
      </c>
      <c r="P9" s="3">
        <v>7.0000000000000007E-2</v>
      </c>
    </row>
    <row r="10" spans="2:16" s="3" customFormat="1" x14ac:dyDescent="0.2">
      <c r="B10" s="3" t="s">
        <v>52</v>
      </c>
      <c r="C10" s="3">
        <v>0.11</v>
      </c>
      <c r="D10" s="3">
        <v>0.11</v>
      </c>
      <c r="E10" s="3">
        <v>0.1</v>
      </c>
      <c r="F10" s="3">
        <v>0.1</v>
      </c>
      <c r="G10" s="3">
        <v>0.11</v>
      </c>
      <c r="H10" s="3">
        <v>0.12</v>
      </c>
      <c r="I10" s="3">
        <v>0.11</v>
      </c>
      <c r="J10" s="3">
        <v>0.1</v>
      </c>
      <c r="K10" s="3">
        <v>7.0000000000000007E-2</v>
      </c>
      <c r="L10" s="3">
        <v>0.08</v>
      </c>
      <c r="M10" s="3">
        <v>0.08</v>
      </c>
      <c r="N10" s="3">
        <v>7.0000000000000007E-2</v>
      </c>
      <c r="O10" s="3">
        <v>0.06</v>
      </c>
      <c r="P10" s="3">
        <v>7.0000000000000007E-2</v>
      </c>
    </row>
    <row r="11" spans="2:16" s="3" customFormat="1" x14ac:dyDescent="0.2">
      <c r="B11" s="3" t="s">
        <v>53</v>
      </c>
      <c r="C11" s="3">
        <v>0.08</v>
      </c>
      <c r="D11" s="3">
        <v>0.08</v>
      </c>
      <c r="E11" s="3">
        <v>0.08</v>
      </c>
      <c r="F11" s="3">
        <v>7.0000000000000007E-2</v>
      </c>
      <c r="G11" s="3">
        <v>7.0000000000000007E-2</v>
      </c>
      <c r="H11" s="3">
        <v>7.0000000000000007E-2</v>
      </c>
      <c r="I11" s="3">
        <v>7.0000000000000007E-2</v>
      </c>
      <c r="J11" s="3">
        <v>0.06</v>
      </c>
      <c r="K11" s="3">
        <v>0.04</v>
      </c>
      <c r="L11" s="3">
        <v>0.05</v>
      </c>
      <c r="M11" s="3">
        <v>0.05</v>
      </c>
      <c r="N11" s="3">
        <v>0.04</v>
      </c>
      <c r="O11" s="3">
        <v>0.03</v>
      </c>
      <c r="P11" s="3">
        <v>0.03</v>
      </c>
    </row>
    <row r="12" spans="2:16" s="3" customFormat="1" x14ac:dyDescent="0.2">
      <c r="B12" s="3" t="s">
        <v>54</v>
      </c>
      <c r="C12" s="3">
        <v>0.05</v>
      </c>
      <c r="D12" s="3">
        <v>0.05</v>
      </c>
      <c r="E12" s="3">
        <v>0.05</v>
      </c>
      <c r="F12" s="3">
        <v>0.05</v>
      </c>
      <c r="G12" s="3">
        <v>0.05</v>
      </c>
      <c r="H12" s="3">
        <v>0.06</v>
      </c>
      <c r="I12" s="3">
        <v>7.0000000000000007E-2</v>
      </c>
      <c r="J12" s="3">
        <v>0.06</v>
      </c>
      <c r="K12" s="3">
        <v>0.05</v>
      </c>
      <c r="L12" s="3">
        <v>0.04</v>
      </c>
      <c r="M12" s="3">
        <v>0.03</v>
      </c>
      <c r="N12" s="3">
        <v>0.04</v>
      </c>
      <c r="O12" s="3">
        <v>0.04</v>
      </c>
      <c r="P12" s="3">
        <v>0.04</v>
      </c>
    </row>
    <row r="13" spans="2:16" s="3" customFormat="1" x14ac:dyDescent="0.2">
      <c r="B13" s="3" t="s">
        <v>55</v>
      </c>
      <c r="C13" s="3">
        <v>0.02</v>
      </c>
      <c r="D13" s="3">
        <v>0.02</v>
      </c>
      <c r="E13" s="3">
        <v>0.02</v>
      </c>
      <c r="F13" s="3">
        <v>0.02</v>
      </c>
      <c r="G13" s="3">
        <v>0.02</v>
      </c>
      <c r="H13" s="3">
        <v>0.02</v>
      </c>
      <c r="I13" s="3">
        <v>0.02</v>
      </c>
      <c r="J13" s="3">
        <v>0.01</v>
      </c>
      <c r="K13" s="3">
        <v>0.01</v>
      </c>
      <c r="L13" s="3">
        <v>0.01</v>
      </c>
      <c r="M13" s="3">
        <v>0.01</v>
      </c>
      <c r="N13" s="3">
        <v>0.01</v>
      </c>
      <c r="O13" s="3">
        <v>0.01</v>
      </c>
      <c r="P13" s="3">
        <v>0.01</v>
      </c>
    </row>
    <row r="14" spans="2:16" s="3" customFormat="1" x14ac:dyDescent="0.2">
      <c r="B14" s="3" t="s">
        <v>56</v>
      </c>
      <c r="C14" s="3">
        <v>0.03</v>
      </c>
      <c r="D14" s="3">
        <v>0.03</v>
      </c>
      <c r="E14" s="3">
        <v>0.03</v>
      </c>
      <c r="F14" s="3">
        <v>0.03</v>
      </c>
      <c r="G14" s="3">
        <v>0.03</v>
      </c>
      <c r="H14" s="3">
        <v>0.02</v>
      </c>
      <c r="I14" s="3">
        <v>0.02</v>
      </c>
      <c r="J14" s="3">
        <v>0.03</v>
      </c>
      <c r="K14" s="3">
        <v>0.03</v>
      </c>
      <c r="L14" s="3">
        <v>0.03</v>
      </c>
      <c r="M14" s="3">
        <v>0.02</v>
      </c>
      <c r="N14" s="3">
        <v>0.02</v>
      </c>
      <c r="O14" s="3">
        <v>0.02</v>
      </c>
      <c r="P14" s="3">
        <v>0.02</v>
      </c>
    </row>
    <row r="15" spans="2:16" s="3" customFormat="1" x14ac:dyDescent="0.2">
      <c r="B15" s="3" t="s">
        <v>57</v>
      </c>
      <c r="C15" s="3">
        <v>0.06</v>
      </c>
      <c r="D15" s="3">
        <v>0.06</v>
      </c>
      <c r="E15" s="3">
        <v>0.06</v>
      </c>
      <c r="F15" s="3">
        <v>0.06</v>
      </c>
      <c r="G15" s="3">
        <v>0.05</v>
      </c>
      <c r="H15" s="3">
        <v>0.05</v>
      </c>
      <c r="I15" s="3">
        <v>0.05</v>
      </c>
      <c r="J15" s="3">
        <v>0.04</v>
      </c>
      <c r="K15" s="3">
        <v>0.04</v>
      </c>
      <c r="L15" s="3">
        <v>0.04</v>
      </c>
      <c r="M15" s="3">
        <v>0.04</v>
      </c>
      <c r="N15" s="3">
        <v>0.04</v>
      </c>
      <c r="O15" s="3">
        <v>0.03</v>
      </c>
      <c r="P15" s="3">
        <v>0.03</v>
      </c>
    </row>
    <row r="16" spans="2:16" s="3" customFormat="1" x14ac:dyDescent="0.2">
      <c r="B16" s="3" t="s">
        <v>58</v>
      </c>
      <c r="C16" s="3">
        <v>0.02</v>
      </c>
      <c r="D16" s="3">
        <v>0.01</v>
      </c>
      <c r="E16" s="3">
        <v>0.01</v>
      </c>
      <c r="F16" s="3">
        <v>0.01</v>
      </c>
      <c r="G16" s="3">
        <v>0.01</v>
      </c>
      <c r="H16" s="3">
        <v>0.01</v>
      </c>
      <c r="I16" s="3">
        <v>0.01</v>
      </c>
      <c r="J16" s="3">
        <v>0.01</v>
      </c>
      <c r="K16" s="3">
        <v>0.01</v>
      </c>
      <c r="L16" s="3">
        <v>0.01</v>
      </c>
      <c r="M16" s="3">
        <v>0.01</v>
      </c>
      <c r="N16" s="3">
        <v>0.01</v>
      </c>
      <c r="O16" s="3">
        <v>0</v>
      </c>
      <c r="P16" s="3">
        <v>0</v>
      </c>
    </row>
    <row r="17" spans="10:10" x14ac:dyDescent="0.2">
      <c r="J1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716EB-228F-44EE-A4F0-2890E651C281}">
  <dimension ref="A1:BA8"/>
  <sheetViews>
    <sheetView workbookViewId="0">
      <pane xSplit="2" ySplit="2" topLeftCell="P3" activePane="bottomRight" state="frozen"/>
      <selection pane="topRight" activeCell="C1" sqref="C1"/>
      <selection pane="bottomLeft" activeCell="A3" sqref="A3"/>
      <selection pane="bottomRight" activeCell="V22" sqref="V22"/>
    </sheetView>
  </sheetViews>
  <sheetFormatPr defaultRowHeight="12.75" x14ac:dyDescent="0.2"/>
  <cols>
    <col min="1" max="1" width="3" customWidth="1"/>
    <col min="2" max="2" width="12.5703125" bestFit="1" customWidth="1"/>
    <col min="3" max="19" width="10.140625" bestFit="1" customWidth="1"/>
    <col min="22" max="22" width="10.140625" bestFit="1" customWidth="1"/>
  </cols>
  <sheetData>
    <row r="1" spans="1:53" x14ac:dyDescent="0.2">
      <c r="C1" s="8">
        <v>43921</v>
      </c>
      <c r="D1" s="8">
        <v>44012</v>
      </c>
      <c r="E1" s="8">
        <v>44104</v>
      </c>
      <c r="F1" s="8">
        <v>44196</v>
      </c>
      <c r="G1" s="8">
        <v>44286</v>
      </c>
      <c r="H1" s="8">
        <v>44377</v>
      </c>
      <c r="I1" s="8">
        <v>44469</v>
      </c>
      <c r="J1" s="8">
        <v>44561</v>
      </c>
      <c r="K1" s="8">
        <v>44651</v>
      </c>
      <c r="L1" s="8">
        <v>44742</v>
      </c>
      <c r="M1" s="8">
        <v>44834</v>
      </c>
      <c r="N1" s="8">
        <v>44926</v>
      </c>
      <c r="O1" s="8">
        <v>45016</v>
      </c>
      <c r="P1" s="8">
        <v>45107</v>
      </c>
      <c r="Q1" s="8">
        <v>45199</v>
      </c>
      <c r="R1" s="8">
        <v>45291</v>
      </c>
      <c r="S1" s="8">
        <v>45382</v>
      </c>
      <c r="T1" s="8">
        <v>45473</v>
      </c>
      <c r="U1" s="8">
        <v>45565</v>
      </c>
      <c r="V1" s="8">
        <v>45657</v>
      </c>
      <c r="W1" s="8">
        <v>45747</v>
      </c>
    </row>
    <row r="2" spans="1:53" s="2" customFormat="1" x14ac:dyDescent="0.2">
      <c r="C2" s="2" t="s">
        <v>39</v>
      </c>
      <c r="D2" s="2" t="s">
        <v>40</v>
      </c>
      <c r="E2" s="2" t="s">
        <v>41</v>
      </c>
      <c r="F2" s="2" t="s">
        <v>42</v>
      </c>
      <c r="G2" s="2" t="s">
        <v>24</v>
      </c>
      <c r="H2" s="2" t="s">
        <v>25</v>
      </c>
      <c r="I2" s="2" t="s">
        <v>26</v>
      </c>
      <c r="J2" s="2" t="s">
        <v>27</v>
      </c>
      <c r="K2" s="2" t="s">
        <v>28</v>
      </c>
      <c r="L2" s="2" t="s">
        <v>29</v>
      </c>
      <c r="M2" s="2" t="s">
        <v>30</v>
      </c>
      <c r="N2" s="2" t="s">
        <v>31</v>
      </c>
      <c r="O2" s="2" t="s">
        <v>32</v>
      </c>
      <c r="P2" s="2" t="s">
        <v>33</v>
      </c>
      <c r="Q2" s="2" t="s">
        <v>34</v>
      </c>
      <c r="R2" s="2" t="s">
        <v>35</v>
      </c>
      <c r="S2" s="2" t="s">
        <v>6</v>
      </c>
      <c r="T2" s="2" t="s">
        <v>36</v>
      </c>
      <c r="U2" s="2" t="s">
        <v>37</v>
      </c>
      <c r="V2" s="2" t="s">
        <v>38</v>
      </c>
      <c r="W2" s="2" t="s">
        <v>107</v>
      </c>
    </row>
    <row r="3" spans="1:53" s="1" customFormat="1" x14ac:dyDescent="0.2">
      <c r="B3" s="1" t="s">
        <v>125</v>
      </c>
      <c r="U3" s="1">
        <f>+U8*0.69</f>
        <v>16217.759999999998</v>
      </c>
      <c r="V3" s="1">
        <f>+V8*0.75</f>
        <v>20163</v>
      </c>
      <c r="W3" s="1">
        <f>+W8*0.77</f>
        <v>19655.02</v>
      </c>
    </row>
    <row r="4" spans="1:53" s="1" customFormat="1" x14ac:dyDescent="0.2">
      <c r="B4" s="1" t="s">
        <v>123</v>
      </c>
      <c r="U4" s="1">
        <f>+U8*0.09</f>
        <v>2115.36</v>
      </c>
      <c r="V4" s="1">
        <f>+V8*0.09</f>
        <v>2419.56</v>
      </c>
      <c r="W4" s="1">
        <f>+W8*0.07</f>
        <v>1786.8200000000002</v>
      </c>
    </row>
    <row r="5" spans="1:53" s="1" customFormat="1" x14ac:dyDescent="0.2">
      <c r="B5" s="1" t="s">
        <v>124</v>
      </c>
      <c r="U5" s="1">
        <f>+U8*0.12</f>
        <v>2820.48</v>
      </c>
      <c r="V5" s="1">
        <f>+V8*0.09</f>
        <v>2419.56</v>
      </c>
      <c r="W5" s="1">
        <f>+W8*0.09</f>
        <v>2297.3399999999997</v>
      </c>
    </row>
    <row r="6" spans="1:53" s="1" customFormat="1" x14ac:dyDescent="0.2">
      <c r="B6" s="1" t="s">
        <v>126</v>
      </c>
      <c r="U6" s="1">
        <f>+U8*0.06</f>
        <v>1410.24</v>
      </c>
      <c r="V6" s="1">
        <f>+V8*0.04</f>
        <v>1075.3600000000001</v>
      </c>
      <c r="W6" s="1">
        <f>+W8*0.04</f>
        <v>1021.0400000000001</v>
      </c>
    </row>
    <row r="7" spans="1:53" s="20" customFormat="1" ht="13.5" thickBot="1" x14ac:dyDescent="0.25">
      <c r="B7" s="20" t="s">
        <v>127</v>
      </c>
      <c r="U7" s="20">
        <f>+U8*0.04</f>
        <v>940.16</v>
      </c>
      <c r="V7" s="20">
        <f>+V8*0.03</f>
        <v>806.52</v>
      </c>
      <c r="W7" s="20">
        <f>+W8*0.03</f>
        <v>765.78</v>
      </c>
    </row>
    <row r="8" spans="1:53" s="18" customFormat="1" ht="13.5" thickTop="1" x14ac:dyDescent="0.2">
      <c r="A8" s="17"/>
      <c r="B8" s="17" t="s">
        <v>7</v>
      </c>
      <c r="C8" s="18">
        <v>12676</v>
      </c>
      <c r="D8" s="18">
        <v>10385</v>
      </c>
      <c r="E8" s="18">
        <v>12138</v>
      </c>
      <c r="F8" s="18">
        <v>12676</v>
      </c>
      <c r="G8" s="18">
        <v>12919</v>
      </c>
      <c r="H8" s="18">
        <v>13289</v>
      </c>
      <c r="I8" s="18">
        <v>14878</v>
      </c>
      <c r="J8" s="18">
        <v>15736</v>
      </c>
      <c r="K8" s="18">
        <v>17567</v>
      </c>
      <c r="L8" s="18">
        <v>18158</v>
      </c>
      <c r="M8" s="18">
        <v>20225</v>
      </c>
      <c r="N8" s="18">
        <v>19931</v>
      </c>
      <c r="O8" s="18">
        <v>16719</v>
      </c>
      <c r="P8" s="18">
        <v>15677</v>
      </c>
      <c r="Q8" s="18">
        <v>17278</v>
      </c>
      <c r="R8" s="18">
        <v>19624</v>
      </c>
      <c r="S8" s="18">
        <v>18873</v>
      </c>
      <c r="T8" s="18">
        <v>20822</v>
      </c>
      <c r="U8" s="18">
        <v>23504</v>
      </c>
      <c r="V8" s="18">
        <v>26884</v>
      </c>
      <c r="W8" s="18">
        <v>25526</v>
      </c>
      <c r="AA8" s="19"/>
      <c r="AB8" s="18">
        <v>25173</v>
      </c>
      <c r="AC8" s="18">
        <v>26606</v>
      </c>
      <c r="AD8" s="18">
        <v>29434</v>
      </c>
      <c r="AE8" s="18">
        <v>32105</v>
      </c>
      <c r="AF8" s="18">
        <v>34196</v>
      </c>
      <c r="AG8" s="18">
        <v>34632</v>
      </c>
      <c r="AH8" s="18">
        <f>+SUM(C8:F8)</f>
        <v>47875</v>
      </c>
      <c r="AI8" s="18">
        <f>+SUM(G8:J8)</f>
        <v>56822</v>
      </c>
      <c r="AJ8" s="18">
        <f>+SUM(K8:N8)</f>
        <v>75881</v>
      </c>
      <c r="AK8" s="18">
        <f>+SUM(O8:R8)</f>
        <v>69298</v>
      </c>
      <c r="AL8" s="18">
        <f>+SUM(S8:V8)</f>
        <v>90083</v>
      </c>
      <c r="AM8" s="18">
        <f>+AL8*1.13</f>
        <v>101793.79</v>
      </c>
      <c r="AN8" s="18">
        <f t="shared" ref="AN8:AQ8" si="0">+AM8*1.13</f>
        <v>115026.98269999998</v>
      </c>
      <c r="AO8" s="18">
        <f t="shared" si="0"/>
        <v>129980.49045099996</v>
      </c>
      <c r="AP8" s="18">
        <f t="shared" si="0"/>
        <v>146877.95420962994</v>
      </c>
      <c r="AQ8" s="18">
        <f t="shared" si="0"/>
        <v>165972.08825688181</v>
      </c>
      <c r="AR8" s="18">
        <f>+AQ8*1.1</f>
        <v>182569.29708257</v>
      </c>
      <c r="AS8" s="18">
        <f t="shared" ref="AS8:AV8" si="1">+AR8*1.1</f>
        <v>200826.22679082703</v>
      </c>
      <c r="AT8" s="18">
        <f t="shared" si="1"/>
        <v>220908.84946990976</v>
      </c>
      <c r="AU8" s="18">
        <f t="shared" si="1"/>
        <v>242999.73441690076</v>
      </c>
      <c r="AV8" s="18">
        <f t="shared" si="1"/>
        <v>267299.70785859087</v>
      </c>
      <c r="AW8" s="18">
        <f>+AV8*1.08</f>
        <v>288683.68448727817</v>
      </c>
      <c r="AX8" s="18">
        <f t="shared" ref="AX8:BA8" si="2">+AW8*1.08</f>
        <v>311778.37924626045</v>
      </c>
      <c r="AY8" s="18">
        <f t="shared" si="2"/>
        <v>336720.64958596131</v>
      </c>
      <c r="AZ8" s="18">
        <f t="shared" si="2"/>
        <v>363658.30155283824</v>
      </c>
      <c r="BA8" s="18">
        <f t="shared" si="2"/>
        <v>392750.96567706531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Technologie</vt:lpstr>
      <vt:lpstr>Geography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Fidel</cp:lastModifiedBy>
  <dcterms:created xsi:type="dcterms:W3CDTF">2024-06-29T09:20:07Z</dcterms:created>
  <dcterms:modified xsi:type="dcterms:W3CDTF">2025-04-17T09:44:35Z</dcterms:modified>
</cp:coreProperties>
</file>