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E30DF654-3861-4A51-9B53-7DBAC6F40FBE}" xr6:coauthVersionLast="47" xr6:coauthVersionMax="47" xr10:uidLastSave="{00000000-0000-0000-0000-000000000000}"/>
  <bookViews>
    <workbookView xWindow="14385" yWindow="75" windowWidth="14235" windowHeight="15495" activeTab="1" xr2:uid="{77D64F20-E0BA-4A30-BB84-C2DA10FFBC4C}"/>
  </bookViews>
  <sheets>
    <sheet name="Main" sheetId="1" r:id="rId1"/>
    <sheet name="Mode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L4" i="1"/>
  <c r="L5" i="1" s="1"/>
  <c r="L8" i="1" s="1"/>
  <c r="L10" i="1" s="1"/>
  <c r="U2" i="2" l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N3" i="2"/>
  <c r="N25" i="2" s="1"/>
  <c r="R3" i="2"/>
  <c r="AE3" i="2"/>
  <c r="AE25" i="2" s="1"/>
  <c r="N4" i="2"/>
  <c r="N11" i="2" s="1"/>
  <c r="N12" i="2" s="1"/>
  <c r="R4" i="2"/>
  <c r="R11" i="2" s="1"/>
  <c r="N5" i="2"/>
  <c r="R5" i="2"/>
  <c r="N6" i="2"/>
  <c r="R6" i="2"/>
  <c r="N7" i="2"/>
  <c r="R7" i="2"/>
  <c r="N8" i="2"/>
  <c r="R8" i="2"/>
  <c r="N9" i="2"/>
  <c r="R9" i="2"/>
  <c r="N10" i="2"/>
  <c r="R10" i="2"/>
  <c r="K11" i="2"/>
  <c r="K12" i="2" s="1"/>
  <c r="L11" i="2"/>
  <c r="M11" i="2"/>
  <c r="O11" i="2"/>
  <c r="P11" i="2"/>
  <c r="Q11" i="2"/>
  <c r="AB11" i="2"/>
  <c r="AC11" i="2"/>
  <c r="AC12" i="2" s="1"/>
  <c r="AD11" i="2"/>
  <c r="AD12" i="2" s="1"/>
  <c r="AE11" i="2"/>
  <c r="AF11" i="2" s="1"/>
  <c r="AG11" i="2" s="1"/>
  <c r="AH11" i="2" s="1"/>
  <c r="AI11" i="2" s="1"/>
  <c r="AJ11" i="2" s="1"/>
  <c r="AK11" i="2" s="1"/>
  <c r="AL11" i="2" s="1"/>
  <c r="AM11" i="2" s="1"/>
  <c r="AN11" i="2" s="1"/>
  <c r="L12" i="2"/>
  <c r="O56" i="2" s="1"/>
  <c r="O58" i="2" s="1"/>
  <c r="M12" i="2"/>
  <c r="M21" i="2" s="1"/>
  <c r="O12" i="2"/>
  <c r="O21" i="2" s="1"/>
  <c r="P12" i="2"/>
  <c r="Q12" i="2"/>
  <c r="AB12" i="2"/>
  <c r="N13" i="2"/>
  <c r="R13" i="2"/>
  <c r="N14" i="2"/>
  <c r="R14" i="2"/>
  <c r="O15" i="2"/>
  <c r="O17" i="2" s="1"/>
  <c r="P15" i="2"/>
  <c r="Q15" i="2"/>
  <c r="AB15" i="2"/>
  <c r="N16" i="2"/>
  <c r="R16" i="2"/>
  <c r="P17" i="2"/>
  <c r="P22" i="2" s="1"/>
  <c r="Q17" i="2"/>
  <c r="Q22" i="2" s="1"/>
  <c r="AB17" i="2"/>
  <c r="AB18" i="2" s="1"/>
  <c r="P18" i="2"/>
  <c r="K19" i="2"/>
  <c r="L19" i="2"/>
  <c r="M19" i="2"/>
  <c r="O19" i="2"/>
  <c r="P19" i="2"/>
  <c r="Q19" i="2"/>
  <c r="P21" i="2"/>
  <c r="Q21" i="2"/>
  <c r="AB21" i="2"/>
  <c r="O23" i="2"/>
  <c r="P23" i="2"/>
  <c r="Q23" i="2"/>
  <c r="AB23" i="2"/>
  <c r="AQ24" i="2"/>
  <c r="G25" i="2"/>
  <c r="H25" i="2"/>
  <c r="I25" i="2"/>
  <c r="J25" i="2"/>
  <c r="K25" i="2"/>
  <c r="L25" i="2"/>
  <c r="M25" i="2"/>
  <c r="O25" i="2"/>
  <c r="P25" i="2"/>
  <c r="Q25" i="2"/>
  <c r="U25" i="2"/>
  <c r="V25" i="2"/>
  <c r="W25" i="2"/>
  <c r="X25" i="2"/>
  <c r="Y25" i="2"/>
  <c r="Z25" i="2"/>
  <c r="AA25" i="2"/>
  <c r="AB25" i="2"/>
  <c r="AC25" i="2"/>
  <c r="AD25" i="2"/>
  <c r="O28" i="2"/>
  <c r="O37" i="2" s="1"/>
  <c r="P28" i="2"/>
  <c r="P37" i="2" s="1"/>
  <c r="Q28" i="2"/>
  <c r="Q37" i="2" s="1"/>
  <c r="R28" i="2"/>
  <c r="R27" i="2" s="1"/>
  <c r="AD27" i="2" s="1"/>
  <c r="O34" i="2"/>
  <c r="P34" i="2"/>
  <c r="Q34" i="2"/>
  <c r="R34" i="2"/>
  <c r="O38" i="2"/>
  <c r="O49" i="2" s="1"/>
  <c r="O51" i="2" s="1"/>
  <c r="P38" i="2"/>
  <c r="P49" i="2" s="1"/>
  <c r="P51" i="2" s="1"/>
  <c r="Q38" i="2"/>
  <c r="Q49" i="2" s="1"/>
  <c r="Q51" i="2" s="1"/>
  <c r="R38" i="2"/>
  <c r="R49" i="2" s="1"/>
  <c r="R51" i="2" s="1"/>
  <c r="O39" i="2"/>
  <c r="P39" i="2"/>
  <c r="Q39" i="2"/>
  <c r="R39" i="2"/>
  <c r="O57" i="2"/>
  <c r="P57" i="2"/>
  <c r="Q57" i="2"/>
  <c r="R57" i="2"/>
  <c r="P61" i="2"/>
  <c r="Q61" i="2"/>
  <c r="P62" i="2"/>
  <c r="Q62" i="2"/>
  <c r="P63" i="2"/>
  <c r="Q63" i="2" s="1"/>
  <c r="P64" i="2"/>
  <c r="Q64" i="2"/>
  <c r="P65" i="2"/>
  <c r="Q65" i="2"/>
  <c r="P66" i="2"/>
  <c r="Q66" i="2"/>
  <c r="P67" i="2"/>
  <c r="Q67" i="2"/>
  <c r="P68" i="2"/>
  <c r="Q68" i="2"/>
  <c r="P69" i="2"/>
  <c r="Q69" i="2"/>
  <c r="Q74" i="2" s="1"/>
  <c r="Q76" i="2" s="1"/>
  <c r="Q95" i="2" s="1"/>
  <c r="P70" i="2"/>
  <c r="Q70" i="2"/>
  <c r="P71" i="2"/>
  <c r="Q71" i="2"/>
  <c r="P72" i="2"/>
  <c r="Q72" i="2"/>
  <c r="P73" i="2"/>
  <c r="Q73" i="2"/>
  <c r="O74" i="2"/>
  <c r="O76" i="2" s="1"/>
  <c r="O95" i="2" s="1"/>
  <c r="P74" i="2"/>
  <c r="P76" i="2" s="1"/>
  <c r="P95" i="2" s="1"/>
  <c r="P75" i="2"/>
  <c r="Q75" i="2" s="1"/>
  <c r="P78" i="2"/>
  <c r="Q78" i="2"/>
  <c r="Q83" i="2" s="1"/>
  <c r="P79" i="2"/>
  <c r="P83" i="2" s="1"/>
  <c r="Q79" i="2"/>
  <c r="O80" i="2"/>
  <c r="Q80" i="2" s="1"/>
  <c r="P80" i="2"/>
  <c r="P81" i="2"/>
  <c r="Q81" i="2" s="1"/>
  <c r="P82" i="2"/>
  <c r="Q82" i="2"/>
  <c r="O85" i="2"/>
  <c r="O90" i="2" s="1"/>
  <c r="P85" i="2"/>
  <c r="P90" i="2" s="1"/>
  <c r="Q86" i="2"/>
  <c r="P87" i="2"/>
  <c r="Q87" i="2" s="1"/>
  <c r="P88" i="2"/>
  <c r="Q88" i="2"/>
  <c r="P89" i="2"/>
  <c r="Q89" i="2"/>
  <c r="P92" i="2"/>
  <c r="K15" i="2" l="1"/>
  <c r="K21" i="2"/>
  <c r="N21" i="2"/>
  <c r="Q56" i="2"/>
  <c r="Q58" i="2" s="1"/>
  <c r="N15" i="2"/>
  <c r="O60" i="2"/>
  <c r="O18" i="2"/>
  <c r="O22" i="2"/>
  <c r="R12" i="2"/>
  <c r="P93" i="2"/>
  <c r="AD15" i="2"/>
  <c r="AD21" i="2"/>
  <c r="AE14" i="2"/>
  <c r="AC15" i="2"/>
  <c r="AC21" i="2"/>
  <c r="L21" i="2"/>
  <c r="Q18" i="2"/>
  <c r="AF3" i="2"/>
  <c r="Q92" i="2"/>
  <c r="Q85" i="2"/>
  <c r="Q90" i="2" s="1"/>
  <c r="M15" i="2"/>
  <c r="L15" i="2"/>
  <c r="AE12" i="2"/>
  <c r="R37" i="2"/>
  <c r="Q27" i="2"/>
  <c r="R25" i="2"/>
  <c r="AB22" i="2"/>
  <c r="Q60" i="2"/>
  <c r="P60" i="2"/>
  <c r="P27" i="2"/>
  <c r="O83" i="2"/>
  <c r="O93" i="2" s="1"/>
  <c r="P56" i="2"/>
  <c r="P58" i="2" s="1"/>
  <c r="O27" i="2"/>
  <c r="R15" i="2" l="1"/>
  <c r="R56" i="2"/>
  <c r="R58" i="2" s="1"/>
  <c r="R21" i="2"/>
  <c r="L17" i="2"/>
  <c r="L23" i="2"/>
  <c r="AD17" i="2"/>
  <c r="AD23" i="2"/>
  <c r="M17" i="2"/>
  <c r="M23" i="2"/>
  <c r="Q93" i="2"/>
  <c r="N17" i="2"/>
  <c r="N23" i="2"/>
  <c r="AC17" i="2"/>
  <c r="AC23" i="2"/>
  <c r="AG3" i="2"/>
  <c r="AF25" i="2"/>
  <c r="AF12" i="2"/>
  <c r="AE15" i="2"/>
  <c r="AE21" i="2"/>
  <c r="K17" i="2"/>
  <c r="K23" i="2"/>
  <c r="M18" i="2" l="1"/>
  <c r="M22" i="2"/>
  <c r="P53" i="2"/>
  <c r="P54" i="2" s="1"/>
  <c r="AE16" i="2"/>
  <c r="AE23" i="2" s="1"/>
  <c r="AD18" i="2"/>
  <c r="AD22" i="2"/>
  <c r="O53" i="2"/>
  <c r="O54" i="2" s="1"/>
  <c r="L18" i="2"/>
  <c r="L22" i="2"/>
  <c r="AF21" i="2"/>
  <c r="AH3" i="2"/>
  <c r="AG25" i="2"/>
  <c r="AG12" i="2"/>
  <c r="N18" i="2"/>
  <c r="N22" i="2"/>
  <c r="Q53" i="2"/>
  <c r="Q54" i="2" s="1"/>
  <c r="K18" i="2"/>
  <c r="K22" i="2"/>
  <c r="AC18" i="2"/>
  <c r="AC22" i="2"/>
  <c r="R23" i="2"/>
  <c r="R17" i="2"/>
  <c r="R18" i="2" l="1"/>
  <c r="R22" i="2"/>
  <c r="R60" i="2"/>
  <c r="R53" i="2"/>
  <c r="R54" i="2" s="1"/>
  <c r="AI3" i="2"/>
  <c r="AH25" i="2"/>
  <c r="AH12" i="2"/>
  <c r="AE17" i="2"/>
  <c r="AG21" i="2"/>
  <c r="AE22" i="2" l="1"/>
  <c r="AE27" i="2"/>
  <c r="AH21" i="2"/>
  <c r="AI25" i="2"/>
  <c r="AJ3" i="2"/>
  <c r="AI12" i="2"/>
  <c r="AI21" i="2" l="1"/>
  <c r="AF14" i="2"/>
  <c r="AF15" i="2" s="1"/>
  <c r="AK3" i="2"/>
  <c r="AJ25" i="2"/>
  <c r="AJ12" i="2"/>
  <c r="AJ21" i="2" l="1"/>
  <c r="AK12" i="2"/>
  <c r="AK25" i="2"/>
  <c r="AL3" i="2"/>
  <c r="AF16" i="2"/>
  <c r="AF23" i="2" s="1"/>
  <c r="AK21" i="2" l="1"/>
  <c r="AF17" i="2"/>
  <c r="AL12" i="2"/>
  <c r="AM3" i="2"/>
  <c r="AL25" i="2"/>
  <c r="AM12" i="2" l="1"/>
  <c r="AN3" i="2"/>
  <c r="AM25" i="2"/>
  <c r="AL21" i="2"/>
  <c r="AF22" i="2"/>
  <c r="AF27" i="2"/>
  <c r="AN12" i="2" l="1"/>
  <c r="AN25" i="2"/>
  <c r="AG14" i="2"/>
  <c r="AG15" i="2" s="1"/>
  <c r="AM21" i="2"/>
  <c r="AG16" i="2" l="1"/>
  <c r="AG23" i="2" s="1"/>
  <c r="AN21" i="2"/>
  <c r="AG17" i="2" l="1"/>
  <c r="AG22" i="2" l="1"/>
  <c r="AG27" i="2"/>
  <c r="AH14" i="2" l="1"/>
  <c r="AH15" i="2" s="1"/>
  <c r="AH16" i="2" l="1"/>
  <c r="AH23" i="2" s="1"/>
  <c r="AH17" i="2" l="1"/>
  <c r="AH22" i="2" l="1"/>
  <c r="AH27" i="2"/>
  <c r="AI14" i="2" l="1"/>
  <c r="AI15" i="2" s="1"/>
  <c r="AI16" i="2" l="1"/>
  <c r="AI23" i="2" s="1"/>
  <c r="AI17" i="2" l="1"/>
  <c r="AI22" i="2" l="1"/>
  <c r="AI27" i="2"/>
  <c r="AJ14" i="2" l="1"/>
  <c r="AJ15" i="2" s="1"/>
  <c r="AJ16" i="2" l="1"/>
  <c r="AJ23" i="2" s="1"/>
  <c r="AJ17" i="2" l="1"/>
  <c r="AJ22" i="2" l="1"/>
  <c r="AJ27" i="2"/>
  <c r="AK14" i="2" l="1"/>
  <c r="AK15" i="2" s="1"/>
  <c r="AK16" i="2" l="1"/>
  <c r="AK23" i="2" s="1"/>
  <c r="AK17" i="2" l="1"/>
  <c r="AK22" i="2" l="1"/>
  <c r="AK27" i="2"/>
  <c r="AL14" i="2" l="1"/>
  <c r="AL15" i="2" s="1"/>
  <c r="AL16" i="2" l="1"/>
  <c r="AL23" i="2" s="1"/>
  <c r="AL17" i="2"/>
  <c r="AL22" i="2" l="1"/>
  <c r="AL27" i="2"/>
  <c r="AM14" i="2" l="1"/>
  <c r="AM15" i="2" s="1"/>
  <c r="AM16" i="2" l="1"/>
  <c r="AM23" i="2" s="1"/>
  <c r="AM17" i="2"/>
  <c r="AM22" i="2" l="1"/>
  <c r="AM27" i="2"/>
  <c r="AN14" i="2" l="1"/>
  <c r="AN15" i="2" s="1"/>
  <c r="AN16" i="2" l="1"/>
  <c r="AN23" i="2" s="1"/>
  <c r="AN17" i="2"/>
  <c r="AO17" i="2" l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AQ22" i="2" s="1"/>
  <c r="AQ23" i="2" s="1"/>
  <c r="AQ25" i="2" s="1"/>
  <c r="AN22" i="2"/>
  <c r="AN27" i="2"/>
</calcChain>
</file>

<file path=xl/sharedStrings.xml><?xml version="1.0" encoding="utf-8"?>
<sst xmlns="http://schemas.openxmlformats.org/spreadsheetml/2006/main" count="118" uniqueCount="94">
  <si>
    <t>FCF</t>
  </si>
  <si>
    <t>CIC</t>
  </si>
  <si>
    <t>FX</t>
  </si>
  <si>
    <t>CFFF</t>
  </si>
  <si>
    <t>Other</t>
  </si>
  <si>
    <t>Dividends</t>
  </si>
  <si>
    <t>Issuance of stock</t>
  </si>
  <si>
    <t>Buyback</t>
  </si>
  <si>
    <t>Debt</t>
  </si>
  <si>
    <t>CFFI</t>
  </si>
  <si>
    <t>Acquisitions</t>
  </si>
  <si>
    <t>Securities</t>
  </si>
  <si>
    <t>Disposal PP&amp;E</t>
  </si>
  <si>
    <t>CapEx</t>
  </si>
  <si>
    <t>CFFO</t>
  </si>
  <si>
    <t>Working capital</t>
  </si>
  <si>
    <t>Other liabilties</t>
  </si>
  <si>
    <t>Accrued wages</t>
  </si>
  <si>
    <t>A/P</t>
  </si>
  <si>
    <t>Other assets</t>
  </si>
  <si>
    <t>A/R</t>
  </si>
  <si>
    <t>SBC</t>
  </si>
  <si>
    <t>D/T</t>
  </si>
  <si>
    <t>Self-insurance</t>
  </si>
  <si>
    <t>Pension contribution</t>
  </si>
  <si>
    <t>Pension expense</t>
  </si>
  <si>
    <t>D&amp;A</t>
  </si>
  <si>
    <t>Reported NI</t>
  </si>
  <si>
    <t>Model NI</t>
  </si>
  <si>
    <t>ROIC</t>
  </si>
  <si>
    <t>Invested capital</t>
  </si>
  <si>
    <t>NOPAT</t>
  </si>
  <si>
    <t>Tangible bookvalue</t>
  </si>
  <si>
    <t>TTM NI</t>
  </si>
  <si>
    <t>L+S/E</t>
  </si>
  <si>
    <t>S/E</t>
  </si>
  <si>
    <t>Liabilties</t>
  </si>
  <si>
    <t>Pension and benefits</t>
  </si>
  <si>
    <t>Disposed</t>
  </si>
  <si>
    <t>Accrued retirement plan</t>
  </si>
  <si>
    <t>Lease</t>
  </si>
  <si>
    <t>Assets</t>
  </si>
  <si>
    <t>Goodwill</t>
  </si>
  <si>
    <t>PP&amp;E</t>
  </si>
  <si>
    <t>Held for sale</t>
  </si>
  <si>
    <t>Cash</t>
  </si>
  <si>
    <t>Net cash</t>
  </si>
  <si>
    <t>Change</t>
  </si>
  <si>
    <t>Revenue y/y</t>
  </si>
  <si>
    <t>Current</t>
  </si>
  <si>
    <t>Share</t>
  </si>
  <si>
    <t>Tax rate</t>
  </si>
  <si>
    <t>NPV</t>
  </si>
  <si>
    <t>Net margin</t>
  </si>
  <si>
    <t>Operating margin</t>
  </si>
  <si>
    <t>Discount</t>
  </si>
  <si>
    <t>Terminal</t>
  </si>
  <si>
    <t>Shares</t>
  </si>
  <si>
    <t>EPS</t>
  </si>
  <si>
    <t>Net income</t>
  </si>
  <si>
    <t>Taxes</t>
  </si>
  <si>
    <t>Pretax</t>
  </si>
  <si>
    <t>Interest</t>
  </si>
  <si>
    <t>Investment</t>
  </si>
  <si>
    <t>Operating income</t>
  </si>
  <si>
    <t>Operating Expense</t>
  </si>
  <si>
    <t>Other expenses</t>
  </si>
  <si>
    <t>Other occupancy</t>
  </si>
  <si>
    <t>Fuel</t>
  </si>
  <si>
    <t>Transportation</t>
  </si>
  <si>
    <t>Maintenance</t>
  </si>
  <si>
    <t>Salaries</t>
  </si>
  <si>
    <t>Revenue</t>
  </si>
  <si>
    <t>Q424</t>
  </si>
  <si>
    <t>Q324</t>
  </si>
  <si>
    <t>Q224</t>
  </si>
  <si>
    <t>Q124</t>
  </si>
  <si>
    <t>Q423</t>
  </si>
  <si>
    <t>Q323</t>
  </si>
  <si>
    <t>Q223</t>
  </si>
  <si>
    <t>Q123</t>
  </si>
  <si>
    <t>Q422</t>
  </si>
  <si>
    <t>Q322</t>
  </si>
  <si>
    <t>Q222</t>
  </si>
  <si>
    <t>Q122</t>
  </si>
  <si>
    <t>Q421</t>
  </si>
  <si>
    <t>Q321</t>
  </si>
  <si>
    <t>Q221</t>
  </si>
  <si>
    <t>Q121</t>
  </si>
  <si>
    <t>Main</t>
  </si>
  <si>
    <t>UPS</t>
  </si>
  <si>
    <t>Price</t>
  </si>
  <si>
    <t>MC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</si>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</sst>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/mm/yy;@"/>
    <numFmt numFmtId="166" formatCode="0\x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3" fontId="1" fillId="0" borderId="0" xfId="0" applyNumberFormat="1" applyFont="1"/>
    <xf numFmtId="3" fontId="0" fillId="0" borderId="0" xfId="0" applyNumberFormat="1"/>
    <xf numFmtId="164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10" fontId="1" fillId="0" borderId="0" xfId="0" applyNumberFormat="1" applyFont="1"/>
    <xf numFmtId="4" fontId="0" fillId="0" borderId="0" xfId="0" applyNumberFormat="1"/>
    <xf numFmtId="3" fontId="0" fillId="0" borderId="0" xfId="0" applyNumberFormat="1" applyAlignment="1">
      <alignment horizontal="right"/>
    </xf>
    <xf numFmtId="165" fontId="0" fillId="0" borderId="0" xfId="0" applyNumberFormat="1"/>
    <xf numFmtId="165" fontId="2" fillId="0" borderId="0" xfId="1" applyNumberFormat="1"/>
    <xf numFmtId="0" fontId="1" fillId="0" borderId="0" xfId="0" applyFont="1"/>
    <xf numFmtId="0" fontId="0" fillId="0" borderId="0" xfId="0" applyAlignment="1">
      <alignment horizontal="right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28575</xdr:colOff>
      <xdr:row>0</xdr:row>
      <xdr:rowOff>38100</xdr:rowOff>
    </xdr:from>
    <xdr:to>
      <xdr:col>30</xdr:col>
      <xdr:colOff>28575</xdr:colOff>
      <xdr:row>96</xdr:row>
      <xdr:rowOff>66675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532A9F4-B050-4344-AD63-756BE938682A}"/>
            </a:ext>
          </a:extLst>
        </xdr:cNvPr>
        <xdr:cNvCxnSpPr/>
      </xdr:nvCxnSpPr>
      <xdr:spPr>
        <a:xfrm>
          <a:off x="18316575" y="38100"/>
          <a:ext cx="0" cy="155733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0</xdr:row>
      <xdr:rowOff>19050</xdr:rowOff>
    </xdr:from>
    <xdr:to>
      <xdr:col>18</xdr:col>
      <xdr:colOff>19050</xdr:colOff>
      <xdr:row>100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AB874B-6E1B-4C94-ACA8-089FC425AD85}"/>
            </a:ext>
          </a:extLst>
        </xdr:cNvPr>
        <xdr:cNvCxnSpPr/>
      </xdr:nvCxnSpPr>
      <xdr:spPr>
        <a:xfrm>
          <a:off x="10991850" y="19050"/>
          <a:ext cx="0" cy="161829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Transportation.xlsx" TargetMode="External"/><Relationship Id="rId1" Type="http://schemas.openxmlformats.org/officeDocument/2006/relationships/externalLinkPath" Target="Transpor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arcel Services"/>
    </sheetNames>
    <sheetDataSet>
      <sheetData sheetId="0">
        <row r="4">
          <cell r="C4">
            <v>109.66</v>
          </cell>
        </row>
        <row r="5">
          <cell r="C5">
            <v>854.17194999999992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89805-8FE1-45E8-B1D2-52B355C8CFAC}">
  <dimension ref="A1:M10"/>
  <sheetViews>
    <sheetView workbookViewId="0">
      <selection activeCell="J19" sqref="J19"/>
    </sheetView>
  </sheetViews>
  <sheetFormatPr defaultRowHeight="12.75" x14ac:dyDescent="0.2"/>
  <cols>
    <col min="1" max="1" width="5" bestFit="1" customWidth="1"/>
  </cols>
  <sheetData>
    <row r="1" spans="1:13" x14ac:dyDescent="0.2">
      <c r="A1" t="s">
        <v>89</v>
      </c>
    </row>
    <row r="2" spans="1:13" x14ac:dyDescent="0.2">
      <c r="K2" s="11" t="s">
        <v>90</v>
      </c>
      <c r="L2" s="11"/>
    </row>
    <row r="3" spans="1:13" x14ac:dyDescent="0.2">
      <c r="K3" t="s">
        <v>91</v>
      </c>
      <c r="L3" s="7">
        <v>109.66</v>
      </c>
    </row>
    <row r="4" spans="1:13" x14ac:dyDescent="0.2">
      <c r="K4" t="s">
        <v>57</v>
      </c>
      <c r="L4" s="2">
        <f>114.298155+739.873795</f>
        <v>854.17194999999992</v>
      </c>
      <c r="M4" s="12" t="s">
        <v>73</v>
      </c>
    </row>
    <row r="5" spans="1:13" x14ac:dyDescent="0.2">
      <c r="K5" t="s">
        <v>92</v>
      </c>
      <c r="L5" s="2">
        <f>+L3*L4</f>
        <v>93668.49603699999</v>
      </c>
      <c r="M5" s="12"/>
    </row>
    <row r="6" spans="1:13" x14ac:dyDescent="0.2">
      <c r="K6" t="s">
        <v>45</v>
      </c>
      <c r="L6" s="2">
        <f>6112+206</f>
        <v>6318</v>
      </c>
      <c r="M6" s="12" t="s">
        <v>73</v>
      </c>
    </row>
    <row r="7" spans="1:13" x14ac:dyDescent="0.2">
      <c r="K7" t="s">
        <v>8</v>
      </c>
      <c r="L7" s="2">
        <f>1838+19446</f>
        <v>21284</v>
      </c>
      <c r="M7" s="12" t="s">
        <v>73</v>
      </c>
    </row>
    <row r="8" spans="1:13" x14ac:dyDescent="0.2">
      <c r="K8" t="s">
        <v>93</v>
      </c>
      <c r="L8" s="2">
        <f>+L5-L6+L7</f>
        <v>108634.49603699999</v>
      </c>
    </row>
    <row r="9" spans="1:13" x14ac:dyDescent="0.2">
      <c r="L9" s="2">
        <v>5782</v>
      </c>
    </row>
    <row r="10" spans="1:13" x14ac:dyDescent="0.2">
      <c r="L10" s="13">
        <f>+L8/L9</f>
        <v>18.788394333621582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AEF8-4887-4187-A651-4E2CF64BB5C8}">
  <dimension ref="A1:EK95"/>
  <sheetViews>
    <sheetView tabSelected="1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Z35" sqref="Z35"/>
    </sheetView>
  </sheetViews>
  <sheetFormatPr defaultRowHeight="12.75" x14ac:dyDescent="0.2"/>
  <cols>
    <col min="1" max="1" width="5" bestFit="1" customWidth="1"/>
    <col min="2" max="2" width="17.5703125" bestFit="1" customWidth="1"/>
  </cols>
  <sheetData>
    <row r="1" spans="1:40" s="9" customFormat="1" x14ac:dyDescent="0.2">
      <c r="A1" s="10" t="s">
        <v>89</v>
      </c>
      <c r="K1" s="9">
        <v>45016</v>
      </c>
      <c r="L1" s="9">
        <v>45107</v>
      </c>
      <c r="M1" s="9">
        <v>45199</v>
      </c>
      <c r="N1" s="9">
        <v>45291</v>
      </c>
      <c r="O1" s="9">
        <v>45382</v>
      </c>
      <c r="P1" s="9">
        <v>45473</v>
      </c>
      <c r="Q1" s="9">
        <v>45565</v>
      </c>
      <c r="R1" s="9">
        <v>45657</v>
      </c>
    </row>
    <row r="2" spans="1:40" s="2" customFormat="1" x14ac:dyDescent="0.2">
      <c r="B2" s="8"/>
      <c r="C2" s="8" t="s">
        <v>88</v>
      </c>
      <c r="D2" s="8" t="s">
        <v>87</v>
      </c>
      <c r="E2" s="8" t="s">
        <v>86</v>
      </c>
      <c r="F2" s="8" t="s">
        <v>85</v>
      </c>
      <c r="G2" s="8" t="s">
        <v>84</v>
      </c>
      <c r="H2" s="8" t="s">
        <v>83</v>
      </c>
      <c r="I2" s="8" t="s">
        <v>82</v>
      </c>
      <c r="J2" s="8" t="s">
        <v>81</v>
      </c>
      <c r="K2" s="8" t="s">
        <v>80</v>
      </c>
      <c r="L2" s="8" t="s">
        <v>79</v>
      </c>
      <c r="M2" s="8" t="s">
        <v>78</v>
      </c>
      <c r="N2" s="8" t="s">
        <v>77</v>
      </c>
      <c r="O2" s="8" t="s">
        <v>76</v>
      </c>
      <c r="P2" s="8" t="s">
        <v>75</v>
      </c>
      <c r="Q2" s="8" t="s">
        <v>74</v>
      </c>
      <c r="R2" s="8" t="s">
        <v>73</v>
      </c>
      <c r="T2">
        <v>2014</v>
      </c>
      <c r="U2">
        <f>+T2+1</f>
        <v>2015</v>
      </c>
      <c r="V2">
        <f>+U2+1</f>
        <v>2016</v>
      </c>
      <c r="W2">
        <f>+V2+1</f>
        <v>2017</v>
      </c>
      <c r="X2">
        <f>+W2+1</f>
        <v>2018</v>
      </c>
      <c r="Y2">
        <f>+X2+1</f>
        <v>2019</v>
      </c>
      <c r="Z2">
        <f>+Y2+1</f>
        <v>2020</v>
      </c>
      <c r="AA2">
        <f>+Z2+1</f>
        <v>2021</v>
      </c>
      <c r="AB2">
        <f>+AA2+1</f>
        <v>2022</v>
      </c>
      <c r="AC2">
        <f>+AB2+1</f>
        <v>2023</v>
      </c>
      <c r="AD2">
        <f>+AC2+1</f>
        <v>2024</v>
      </c>
      <c r="AE2">
        <f>+AD2+1</f>
        <v>2025</v>
      </c>
      <c r="AF2">
        <f>+AE2+1</f>
        <v>2026</v>
      </c>
      <c r="AG2">
        <f>+AF2+1</f>
        <v>2027</v>
      </c>
      <c r="AH2">
        <f>+AG2+1</f>
        <v>2028</v>
      </c>
      <c r="AI2">
        <f>+AH2+1</f>
        <v>2029</v>
      </c>
      <c r="AJ2">
        <f>+AI2+1</f>
        <v>2030</v>
      </c>
      <c r="AK2">
        <f>+AJ2+1</f>
        <v>2031</v>
      </c>
      <c r="AL2">
        <f>+AK2+1</f>
        <v>2032</v>
      </c>
      <c r="AM2">
        <f>+AL2+1</f>
        <v>2033</v>
      </c>
      <c r="AN2">
        <f>+AM2+1</f>
        <v>2034</v>
      </c>
    </row>
    <row r="3" spans="1:40" s="1" customFormat="1" x14ac:dyDescent="0.2">
      <c r="B3" s="1" t="s">
        <v>72</v>
      </c>
      <c r="K3" s="1">
        <v>22925</v>
      </c>
      <c r="L3" s="1">
        <v>22055</v>
      </c>
      <c r="M3" s="1">
        <v>21061</v>
      </c>
      <c r="N3" s="1">
        <f>+AC3-SUM(K3:M3)</f>
        <v>24917</v>
      </c>
      <c r="O3" s="1">
        <v>21706</v>
      </c>
      <c r="P3" s="1">
        <v>21818</v>
      </c>
      <c r="Q3" s="1">
        <v>22245</v>
      </c>
      <c r="R3" s="1">
        <f>+AD3-SUM(O3:Q3)</f>
        <v>25301</v>
      </c>
      <c r="AB3" s="1">
        <v>100338</v>
      </c>
      <c r="AC3" s="1">
        <v>90958</v>
      </c>
      <c r="AD3" s="1">
        <v>91070</v>
      </c>
      <c r="AE3" s="1">
        <f>+AD3*1.01</f>
        <v>91980.7</v>
      </c>
      <c r="AF3" s="1">
        <f>+AE3*1.01</f>
        <v>92900.506999999998</v>
      </c>
      <c r="AG3" s="1">
        <f>+AF3*1.01</f>
        <v>93829.512069999997</v>
      </c>
      <c r="AH3" s="1">
        <f>+AG3*1.01</f>
        <v>94767.807190699998</v>
      </c>
      <c r="AI3" s="1">
        <f>+AH3*1.01</f>
        <v>95715.485262606991</v>
      </c>
      <c r="AJ3" s="1">
        <f>+AI3*1.01</f>
        <v>96672.640115233065</v>
      </c>
      <c r="AK3" s="1">
        <f>+AJ3*1.01</f>
        <v>97639.366516385402</v>
      </c>
      <c r="AL3" s="1">
        <f>+AK3*1.01</f>
        <v>98615.760181549253</v>
      </c>
      <c r="AM3" s="1">
        <f>+AL3*1.01</f>
        <v>99601.917783364741</v>
      </c>
      <c r="AN3" s="1">
        <f>+AM3*1.01</f>
        <v>100597.93696119839</v>
      </c>
    </row>
    <row r="4" spans="1:40" s="2" customFormat="1" x14ac:dyDescent="0.2">
      <c r="B4" s="2" t="s">
        <v>71</v>
      </c>
      <c r="K4" s="2">
        <v>11464</v>
      </c>
      <c r="L4" s="2">
        <v>11196</v>
      </c>
      <c r="M4" s="2">
        <v>11528</v>
      </c>
      <c r="N4" s="2">
        <f>+AC4-SUM(K4:M4)</f>
        <v>12904</v>
      </c>
      <c r="O4" s="2">
        <v>11639</v>
      </c>
      <c r="P4" s="2">
        <v>11503</v>
      </c>
      <c r="Q4" s="2">
        <v>11955</v>
      </c>
      <c r="R4" s="2">
        <f>+AD4-SUM(O4:Q4)</f>
        <v>12996</v>
      </c>
      <c r="AB4" s="2">
        <v>47724</v>
      </c>
      <c r="AC4" s="2">
        <v>47092</v>
      </c>
      <c r="AD4" s="2">
        <v>48093</v>
      </c>
    </row>
    <row r="5" spans="1:40" s="2" customFormat="1" x14ac:dyDescent="0.2">
      <c r="B5" s="2" t="s">
        <v>70</v>
      </c>
      <c r="K5" s="2">
        <v>725</v>
      </c>
      <c r="L5" s="2">
        <v>682</v>
      </c>
      <c r="M5" s="2">
        <v>719</v>
      </c>
      <c r="N5" s="2">
        <f>+AC5-SUM(K5:M5)</f>
        <v>702</v>
      </c>
      <c r="O5" s="2">
        <v>718</v>
      </c>
      <c r="P5" s="2">
        <v>734</v>
      </c>
      <c r="Q5" s="2">
        <v>713</v>
      </c>
      <c r="R5" s="2">
        <f>+AD5-SUM(O5:Q5)</f>
        <v>775</v>
      </c>
      <c r="AB5" s="2">
        <v>2884</v>
      </c>
      <c r="AC5" s="2">
        <v>2828</v>
      </c>
      <c r="AD5" s="2">
        <v>2940</v>
      </c>
    </row>
    <row r="6" spans="1:40" s="2" customFormat="1" x14ac:dyDescent="0.2">
      <c r="B6" s="2" t="s">
        <v>26</v>
      </c>
      <c r="K6" s="2">
        <v>834</v>
      </c>
      <c r="L6" s="2">
        <v>828</v>
      </c>
      <c r="M6" s="2">
        <v>837</v>
      </c>
      <c r="N6" s="2">
        <f>+AC6-SUM(K6:M6)</f>
        <v>867</v>
      </c>
      <c r="O6" s="2">
        <v>898</v>
      </c>
      <c r="P6" s="2">
        <v>887</v>
      </c>
      <c r="Q6" s="2">
        <v>905</v>
      </c>
      <c r="R6" s="2">
        <f>+AD6-SUM(O6:Q6)</f>
        <v>919</v>
      </c>
      <c r="AB6" s="2">
        <v>3188</v>
      </c>
      <c r="AC6" s="2">
        <v>3366</v>
      </c>
      <c r="AD6" s="2">
        <v>3609</v>
      </c>
    </row>
    <row r="7" spans="1:40" s="2" customFormat="1" x14ac:dyDescent="0.2">
      <c r="B7" s="2" t="s">
        <v>69</v>
      </c>
      <c r="K7" s="2">
        <v>3541</v>
      </c>
      <c r="L7" s="2">
        <v>3171</v>
      </c>
      <c r="M7" s="2">
        <v>3114</v>
      </c>
      <c r="N7" s="2">
        <f>+AC7-SUM(K7:M7)</f>
        <v>3814</v>
      </c>
      <c r="O7" s="2">
        <v>3246</v>
      </c>
      <c r="P7" s="2">
        <v>3273</v>
      </c>
      <c r="Q7" s="2">
        <v>3375</v>
      </c>
      <c r="R7" s="2">
        <f>+AD7-SUM(O7:Q7)</f>
        <v>3695</v>
      </c>
      <c r="AB7" s="2">
        <v>17666</v>
      </c>
      <c r="AC7" s="2">
        <v>13640</v>
      </c>
      <c r="AD7" s="2">
        <v>13589</v>
      </c>
    </row>
    <row r="8" spans="1:40" s="2" customFormat="1" x14ac:dyDescent="0.2">
      <c r="B8" s="2" t="s">
        <v>68</v>
      </c>
      <c r="K8" s="2">
        <v>1271</v>
      </c>
      <c r="L8" s="2">
        <v>1090</v>
      </c>
      <c r="M8" s="2">
        <v>1132</v>
      </c>
      <c r="N8" s="2">
        <f>+AC8-SUM(K8:M8)</f>
        <v>1282</v>
      </c>
      <c r="O8" s="2">
        <v>1060</v>
      </c>
      <c r="P8" s="2">
        <v>1126</v>
      </c>
      <c r="Q8" s="2">
        <v>1068</v>
      </c>
      <c r="R8" s="2">
        <f>+AD8-SUM(O8:Q8)</f>
        <v>1112</v>
      </c>
      <c r="AB8" s="2">
        <v>6018</v>
      </c>
      <c r="AC8" s="2">
        <v>4775</v>
      </c>
      <c r="AD8" s="2">
        <v>4366</v>
      </c>
    </row>
    <row r="9" spans="1:40" s="2" customFormat="1" x14ac:dyDescent="0.2">
      <c r="B9" s="2" t="s">
        <v>67</v>
      </c>
      <c r="K9" s="2">
        <v>551</v>
      </c>
      <c r="L9" s="2">
        <v>458</v>
      </c>
      <c r="M9" s="2">
        <v>481</v>
      </c>
      <c r="N9" s="2">
        <f>+AC9-SUM(K9:M9)</f>
        <v>529</v>
      </c>
      <c r="O9" s="2">
        <v>564</v>
      </c>
      <c r="P9" s="2">
        <v>492</v>
      </c>
      <c r="Q9" s="2">
        <v>517</v>
      </c>
      <c r="R9" s="2">
        <f>+AD9-SUM(O9:Q9)</f>
        <v>544</v>
      </c>
      <c r="AB9" s="2">
        <v>1844</v>
      </c>
      <c r="AC9" s="2">
        <v>2019</v>
      </c>
      <c r="AD9" s="2">
        <v>2117</v>
      </c>
    </row>
    <row r="10" spans="1:40" s="2" customFormat="1" x14ac:dyDescent="0.2">
      <c r="B10" s="2" t="s">
        <v>66</v>
      </c>
      <c r="K10" s="2">
        <v>1998</v>
      </c>
      <c r="L10" s="2">
        <v>1850</v>
      </c>
      <c r="M10" s="2">
        <v>1907</v>
      </c>
      <c r="N10" s="2">
        <f>+AC10-SUM(K10:M10)</f>
        <v>2342</v>
      </c>
      <c r="O10" s="2">
        <v>1968</v>
      </c>
      <c r="P10" s="2">
        <v>1859</v>
      </c>
      <c r="Q10" s="2">
        <v>1727</v>
      </c>
      <c r="R10" s="2">
        <f>+AD10-SUM(O10:Q10)</f>
        <v>2334</v>
      </c>
      <c r="AB10" s="2">
        <v>7920</v>
      </c>
      <c r="AC10" s="2">
        <v>8097</v>
      </c>
      <c r="AD10" s="2">
        <v>7888</v>
      </c>
    </row>
    <row r="11" spans="1:40" s="2" customFormat="1" x14ac:dyDescent="0.2">
      <c r="B11" s="2" t="s">
        <v>65</v>
      </c>
      <c r="K11" s="2">
        <f>+SUM(K4:K10)</f>
        <v>20384</v>
      </c>
      <c r="L11" s="2">
        <f>+SUM(L4:L10)</f>
        <v>19275</v>
      </c>
      <c r="M11" s="2">
        <f>+SUM(M4:M10)</f>
        <v>19718</v>
      </c>
      <c r="N11" s="2">
        <f>+SUM(N4:N10)</f>
        <v>22440</v>
      </c>
      <c r="O11" s="2">
        <f>+SUM(O4:O10)</f>
        <v>20093</v>
      </c>
      <c r="P11" s="2">
        <f>+SUM(P4:P10)</f>
        <v>19874</v>
      </c>
      <c r="Q11" s="2">
        <f>+SUM(Q4:Q10)</f>
        <v>20260</v>
      </c>
      <c r="R11" s="2">
        <f>+SUM(R4:R10)</f>
        <v>22375</v>
      </c>
      <c r="AB11" s="2">
        <f>+SUM(AB4:AB10)</f>
        <v>87244</v>
      </c>
      <c r="AC11" s="2">
        <f>+SUM(AC4:AC10)</f>
        <v>81817</v>
      </c>
      <c r="AD11" s="2">
        <f>+SUM(AD4:AD10)</f>
        <v>82602</v>
      </c>
      <c r="AE11" s="2">
        <f>+AD11*1.01</f>
        <v>83428.02</v>
      </c>
      <c r="AF11" s="2">
        <f>+AE11*1.01</f>
        <v>84262.300199999998</v>
      </c>
      <c r="AG11" s="2">
        <f>+AF11*1.01</f>
        <v>85104.923202000005</v>
      </c>
      <c r="AH11" s="2">
        <f>+AG11*1.01</f>
        <v>85955.972434020005</v>
      </c>
      <c r="AI11" s="2">
        <f>+AH11*1.01</f>
        <v>86815.532158360205</v>
      </c>
      <c r="AJ11" s="2">
        <f>+AI11*1.01</f>
        <v>87683.687479943808</v>
      </c>
      <c r="AK11" s="2">
        <f>+AJ11*1.01</f>
        <v>88560.524354743247</v>
      </c>
      <c r="AL11" s="2">
        <f>+AK11*1.01</f>
        <v>89446.129598290674</v>
      </c>
      <c r="AM11" s="2">
        <f>+AL11*1.01</f>
        <v>90340.590894273584</v>
      </c>
      <c r="AN11" s="2">
        <f>+AM11*1.01</f>
        <v>91243.996803216316</v>
      </c>
    </row>
    <row r="12" spans="1:40" s="1" customFormat="1" x14ac:dyDescent="0.2">
      <c r="B12" s="1" t="s">
        <v>64</v>
      </c>
      <c r="K12" s="1">
        <f>+K3-K11</f>
        <v>2541</v>
      </c>
      <c r="L12" s="1">
        <f>+L3-L11</f>
        <v>2780</v>
      </c>
      <c r="M12" s="1">
        <f>+M3-M11</f>
        <v>1343</v>
      </c>
      <c r="N12" s="1">
        <f>+N3-N11</f>
        <v>2477</v>
      </c>
      <c r="O12" s="1">
        <f>+O3-O11</f>
        <v>1613</v>
      </c>
      <c r="P12" s="1">
        <f>+P3-P11</f>
        <v>1944</v>
      </c>
      <c r="Q12" s="1">
        <f>+Q3-Q11</f>
        <v>1985</v>
      </c>
      <c r="R12" s="1">
        <f>+R3-R11</f>
        <v>2926</v>
      </c>
      <c r="AB12" s="1">
        <f>+AB3-AB11</f>
        <v>13094</v>
      </c>
      <c r="AC12" s="1">
        <f>+AC3-AC11</f>
        <v>9141</v>
      </c>
      <c r="AD12" s="1">
        <f>+AD3-AD11</f>
        <v>8468</v>
      </c>
      <c r="AE12" s="1">
        <f>+AE3-AE11</f>
        <v>8552.679999999993</v>
      </c>
      <c r="AF12" s="1">
        <f>+AF3-AF11</f>
        <v>8638.2067999999999</v>
      </c>
      <c r="AG12" s="1">
        <f>+AG3-AG11</f>
        <v>8724.5888679999916</v>
      </c>
      <c r="AH12" s="1">
        <f>+AH3-AH11</f>
        <v>8811.834756679993</v>
      </c>
      <c r="AI12" s="1">
        <f>+AI3-AI11</f>
        <v>8899.9531042467861</v>
      </c>
      <c r="AJ12" s="1">
        <f>+AJ3-AJ11</f>
        <v>8988.9526352892572</v>
      </c>
      <c r="AK12" s="1">
        <f>+AK3-AK11</f>
        <v>9078.8421616421547</v>
      </c>
      <c r="AL12" s="1">
        <f>+AL3-AL11</f>
        <v>9169.6305832585786</v>
      </c>
      <c r="AM12" s="1">
        <f>+AM3-AM11</f>
        <v>9261.3268890911568</v>
      </c>
      <c r="AN12" s="1">
        <f>+AN3-AN11</f>
        <v>9353.9401579820696</v>
      </c>
    </row>
    <row r="13" spans="1:40" s="2" customFormat="1" x14ac:dyDescent="0.2">
      <c r="B13" s="2" t="s">
        <v>63</v>
      </c>
      <c r="K13" s="2">
        <v>169</v>
      </c>
      <c r="L13" s="2">
        <v>131</v>
      </c>
      <c r="M13" s="2">
        <v>124</v>
      </c>
      <c r="N13" s="2">
        <f>+AC13-SUM(K13:M13)</f>
        <v>-205</v>
      </c>
      <c r="O13" s="2">
        <v>118</v>
      </c>
      <c r="P13" s="2">
        <v>137</v>
      </c>
      <c r="Q13" s="2">
        <v>155</v>
      </c>
      <c r="R13" s="2">
        <f>+AD13-SUM(O13:Q13)</f>
        <v>-570</v>
      </c>
      <c r="AB13" s="2">
        <v>2435</v>
      </c>
      <c r="AC13" s="2">
        <v>219</v>
      </c>
      <c r="AD13" s="2">
        <v>-160</v>
      </c>
      <c r="AE13" s="2">
        <v>700</v>
      </c>
      <c r="AF13" s="2">
        <v>700</v>
      </c>
      <c r="AG13" s="2">
        <v>700</v>
      </c>
      <c r="AH13" s="2">
        <v>700</v>
      </c>
      <c r="AI13" s="2">
        <v>700</v>
      </c>
      <c r="AJ13" s="2">
        <v>700</v>
      </c>
      <c r="AK13" s="2">
        <v>700</v>
      </c>
      <c r="AL13" s="2">
        <v>700</v>
      </c>
      <c r="AM13" s="2">
        <v>700</v>
      </c>
      <c r="AN13" s="2">
        <v>700</v>
      </c>
    </row>
    <row r="14" spans="1:40" s="2" customFormat="1" x14ac:dyDescent="0.2">
      <c r="B14" s="2" t="s">
        <v>62</v>
      </c>
      <c r="K14" s="2">
        <v>-188</v>
      </c>
      <c r="L14" s="2">
        <v>-191</v>
      </c>
      <c r="M14" s="2">
        <v>-199</v>
      </c>
      <c r="N14" s="2">
        <f>+AC14-SUM(K14:M14)</f>
        <v>-209</v>
      </c>
      <c r="O14" s="2">
        <v>-195</v>
      </c>
      <c r="P14" s="2">
        <v>-212</v>
      </c>
      <c r="Q14" s="2">
        <v>-230</v>
      </c>
      <c r="R14" s="2">
        <f>+AD14-SUM(O14:Q14)</f>
        <v>-229</v>
      </c>
      <c r="AB14" s="2">
        <v>-704</v>
      </c>
      <c r="AC14" s="2">
        <v>-787</v>
      </c>
      <c r="AD14" s="2">
        <v>-866</v>
      </c>
      <c r="AE14" s="2">
        <f>+AD27*$AQ$21</f>
        <v>-2993.2000000000003</v>
      </c>
      <c r="AF14" s="2">
        <f>+AE27*$AQ$21</f>
        <v>-2016.7211200000013</v>
      </c>
      <c r="AG14" s="2">
        <f>+AF27*$AQ$21</f>
        <v>-874.5693539200015</v>
      </c>
      <c r="AH14" s="2">
        <f>+AG27*$AQ$21</f>
        <v>459.23369027647698</v>
      </c>
      <c r="AI14" s="2">
        <f>+AH27*$AQ$21</f>
        <v>2014.7203680016864</v>
      </c>
      <c r="AJ14" s="2">
        <f>+AI27*$AQ$21</f>
        <v>3826.6094296724477</v>
      </c>
      <c r="AK14" s="2">
        <f>+AJ27*$AQ$21</f>
        <v>5935.0371118064741</v>
      </c>
      <c r="AL14" s="2">
        <f>+AK27*$AQ$21</f>
        <v>8386.4022784644603</v>
      </c>
      <c r="AM14" s="2">
        <f>+AL27*$AQ$21</f>
        <v>11234.343404893254</v>
      </c>
      <c r="AN14" s="2">
        <f>+AM27*$AQ$21</f>
        <v>14540.867970754824</v>
      </c>
    </row>
    <row r="15" spans="1:40" s="2" customFormat="1" x14ac:dyDescent="0.2">
      <c r="B15" s="2" t="s">
        <v>61</v>
      </c>
      <c r="K15" s="2">
        <f>+K12+SUM(K13:K14)</f>
        <v>2522</v>
      </c>
      <c r="L15" s="2">
        <f>+L12+SUM(L13:L14)</f>
        <v>2720</v>
      </c>
      <c r="M15" s="2">
        <f>+M12+SUM(M13:M14)</f>
        <v>1268</v>
      </c>
      <c r="N15" s="2">
        <f>+N12+SUM(N13:N14)</f>
        <v>2063</v>
      </c>
      <c r="O15" s="2">
        <f>+O12+SUM(O13:O14)</f>
        <v>1536</v>
      </c>
      <c r="P15" s="2">
        <f>+P12+SUM(P13:P14)</f>
        <v>1869</v>
      </c>
      <c r="Q15" s="2">
        <f>+Q12+SUM(Q13:Q14)</f>
        <v>1910</v>
      </c>
      <c r="R15" s="2">
        <f>+R12+SUM(R13:R14)</f>
        <v>2127</v>
      </c>
      <c r="AB15" s="2">
        <f>+AB12+SUM(AB13:AB14)</f>
        <v>14825</v>
      </c>
      <c r="AC15" s="2">
        <f>+AC12+SUM(AC13:AC14)</f>
        <v>8573</v>
      </c>
      <c r="AD15" s="2">
        <f>+AD12+SUM(AD13:AD14)</f>
        <v>7442</v>
      </c>
      <c r="AE15" s="2">
        <f>+AE12+SUM(AE13:AE14)</f>
        <v>6259.4799999999923</v>
      </c>
      <c r="AF15" s="2">
        <f>+AF12+SUM(AF13:AF14)</f>
        <v>7321.4856799999989</v>
      </c>
      <c r="AG15" s="2">
        <f>+AG12+SUM(AG13:AG14)</f>
        <v>8550.0195140799897</v>
      </c>
      <c r="AH15" s="2">
        <f>+AH12+SUM(AH13:AH14)</f>
        <v>9971.0684469564694</v>
      </c>
      <c r="AI15" s="2">
        <f>+AI12+SUM(AI13:AI14)</f>
        <v>11614.673472248473</v>
      </c>
      <c r="AJ15" s="2">
        <f>+AJ12+SUM(AJ13:AJ14)</f>
        <v>13515.562064961705</v>
      </c>
      <c r="AK15" s="2">
        <f>+AK12+SUM(AK13:AK14)</f>
        <v>15713.879273448629</v>
      </c>
      <c r="AL15" s="2">
        <f>+AL12+SUM(AL13:AL14)</f>
        <v>18256.032861723041</v>
      </c>
      <c r="AM15" s="2">
        <f>+AM12+SUM(AM13:AM14)</f>
        <v>21195.670293984411</v>
      </c>
      <c r="AN15" s="2">
        <f>+AN12+SUM(AN13:AN14)</f>
        <v>24594.808128736891</v>
      </c>
    </row>
    <row r="16" spans="1:40" s="2" customFormat="1" x14ac:dyDescent="0.2">
      <c r="B16" s="2" t="s">
        <v>60</v>
      </c>
      <c r="K16" s="2">
        <v>627</v>
      </c>
      <c r="L16" s="2">
        <v>639</v>
      </c>
      <c r="M16" s="2">
        <v>141</v>
      </c>
      <c r="N16" s="2">
        <f>+AC16-SUM(K16:M16)</f>
        <v>458</v>
      </c>
      <c r="O16" s="2">
        <v>423</v>
      </c>
      <c r="P16" s="2">
        <v>460</v>
      </c>
      <c r="Q16" s="2">
        <v>371</v>
      </c>
      <c r="R16" s="2">
        <f>+AD16-SUM(O16:Q16)</f>
        <v>406</v>
      </c>
      <c r="AB16" s="2">
        <v>3277</v>
      </c>
      <c r="AC16" s="2">
        <v>1865</v>
      </c>
      <c r="AD16" s="2">
        <v>1660</v>
      </c>
      <c r="AE16" s="2">
        <f>+AE15*0.22</f>
        <v>1377.0855999999983</v>
      </c>
      <c r="AF16" s="2">
        <f>+AF15*0.22</f>
        <v>1610.7268495999997</v>
      </c>
      <c r="AG16" s="2">
        <f>+AG15*0.22</f>
        <v>1881.0042930975978</v>
      </c>
      <c r="AH16" s="2">
        <f>+AH15*0.22</f>
        <v>2193.6350583304234</v>
      </c>
      <c r="AI16" s="2">
        <f>+AI15*0.22</f>
        <v>2555.2281638946638</v>
      </c>
      <c r="AJ16" s="2">
        <f>+AJ15*0.22</f>
        <v>2973.4236542915751</v>
      </c>
      <c r="AK16" s="2">
        <f>+AK15*0.22</f>
        <v>3457.0534401586983</v>
      </c>
      <c r="AL16" s="2">
        <f>+AL15*0.22</f>
        <v>4016.3272295790689</v>
      </c>
      <c r="AM16" s="2">
        <f>+AM15*0.22</f>
        <v>4663.0474646765706</v>
      </c>
      <c r="AN16" s="2">
        <f>+AN15*0.22</f>
        <v>5410.857788322116</v>
      </c>
    </row>
    <row r="17" spans="2:141" s="1" customFormat="1" x14ac:dyDescent="0.2">
      <c r="B17" s="1" t="s">
        <v>59</v>
      </c>
      <c r="K17" s="1">
        <f>+K15-K16</f>
        <v>1895</v>
      </c>
      <c r="L17" s="1">
        <f>+L15-L16</f>
        <v>2081</v>
      </c>
      <c r="M17" s="1">
        <f>+M15-M16</f>
        <v>1127</v>
      </c>
      <c r="N17" s="1">
        <f>+N15-N16</f>
        <v>1605</v>
      </c>
      <c r="O17" s="1">
        <f>+O15-O16</f>
        <v>1113</v>
      </c>
      <c r="P17" s="1">
        <f>+P15-P16</f>
        <v>1409</v>
      </c>
      <c r="Q17" s="1">
        <f>+Q15-Q16</f>
        <v>1539</v>
      </c>
      <c r="R17" s="1">
        <f>+R15-R16</f>
        <v>1721</v>
      </c>
      <c r="AB17" s="1">
        <f>+AB15-AB16</f>
        <v>11548</v>
      </c>
      <c r="AC17" s="1">
        <f>+AC15-AC16</f>
        <v>6708</v>
      </c>
      <c r="AD17" s="1">
        <f>+AD15-AD16</f>
        <v>5782</v>
      </c>
      <c r="AE17" s="1">
        <f>+AE15-AE16</f>
        <v>4882.3943999999938</v>
      </c>
      <c r="AF17" s="1">
        <f>+AF15-AF16</f>
        <v>5710.7588303999992</v>
      </c>
      <c r="AG17" s="1">
        <f>+AG15-AG16</f>
        <v>6669.0152209823918</v>
      </c>
      <c r="AH17" s="1">
        <f>+AH15-AH16</f>
        <v>7777.4333886260465</v>
      </c>
      <c r="AI17" s="1">
        <f>+AI15-AI16</f>
        <v>9059.4453083538083</v>
      </c>
      <c r="AJ17" s="1">
        <f>+AJ15-AJ16</f>
        <v>10542.13841067013</v>
      </c>
      <c r="AK17" s="1">
        <f>+AK15-AK16</f>
        <v>12256.825833289931</v>
      </c>
      <c r="AL17" s="1">
        <f>+AL15-AL16</f>
        <v>14239.705632143972</v>
      </c>
      <c r="AM17" s="1">
        <f>+AM15-AM16</f>
        <v>16532.622829307838</v>
      </c>
      <c r="AN17" s="1">
        <f>+AN15-AN16</f>
        <v>19183.950340414776</v>
      </c>
      <c r="AO17" s="1">
        <f>+AN17*(1+$AQ$19)</f>
        <v>19375.789843818926</v>
      </c>
      <c r="AP17" s="1">
        <f>+AO17*(1+$AQ$19)</f>
        <v>19569.547742257117</v>
      </c>
      <c r="AQ17" s="1">
        <f>+AP17*(1+$AQ$19)</f>
        <v>19765.243219679687</v>
      </c>
      <c r="AR17" s="1">
        <f>+AQ17*(1+$AQ$19)</f>
        <v>19962.895651876483</v>
      </c>
      <c r="AS17" s="1">
        <f>+AR17*(1+$AQ$19)</f>
        <v>20162.524608395248</v>
      </c>
      <c r="AT17" s="1">
        <f>+AS17*(1+$AQ$19)</f>
        <v>20364.149854479201</v>
      </c>
      <c r="AU17" s="1">
        <f>+AT17*(1+$AQ$19)</f>
        <v>20567.791353023993</v>
      </c>
      <c r="AV17" s="1">
        <f>+AU17*(1+$AQ$19)</f>
        <v>20773.469266554232</v>
      </c>
      <c r="AW17" s="1">
        <f>+AV17*(1+$AQ$19)</f>
        <v>20981.203959219773</v>
      </c>
      <c r="AX17" s="1">
        <f>+AW17*(1+$AQ$19)</f>
        <v>21191.01599881197</v>
      </c>
      <c r="AY17" s="1">
        <f>+AX17*(1+$AQ$19)</f>
        <v>21402.926158800092</v>
      </c>
      <c r="AZ17" s="1">
        <f>+AY17*(1+$AQ$19)</f>
        <v>21616.955420388094</v>
      </c>
      <c r="BA17" s="1">
        <f>+AZ17*(1+$AQ$19)</f>
        <v>21833.124974591974</v>
      </c>
      <c r="BB17" s="1">
        <f>+BA17*(1+$AQ$19)</f>
        <v>22051.456224337893</v>
      </c>
      <c r="BC17" s="1">
        <f>+BB17*(1+$AQ$19)</f>
        <v>22271.970786581271</v>
      </c>
      <c r="BD17" s="1">
        <f>+BC17*(1+$AQ$19)</f>
        <v>22494.690494447084</v>
      </c>
      <c r="BE17" s="1">
        <f>+BD17*(1+$AQ$19)</f>
        <v>22719.637399391555</v>
      </c>
      <c r="BF17" s="1">
        <f>+BE17*(1+$AQ$19)</f>
        <v>22946.833773385471</v>
      </c>
      <c r="BG17" s="1">
        <f>+BF17*(1+$AQ$19)</f>
        <v>23176.302111119327</v>
      </c>
      <c r="BH17" s="1">
        <f>+BG17*(1+$AQ$19)</f>
        <v>23408.06513223052</v>
      </c>
      <c r="BI17" s="1">
        <f>+BH17*(1+$AQ$19)</f>
        <v>23642.145783552827</v>
      </c>
      <c r="BJ17" s="1">
        <f>+BI17*(1+$AQ$19)</f>
        <v>23878.567241388355</v>
      </c>
      <c r="BK17" s="1">
        <f>+BJ17*(1+$AQ$19)</f>
        <v>24117.352913802239</v>
      </c>
      <c r="BL17" s="1">
        <f>+BK17*(1+$AQ$19)</f>
        <v>24358.52644294026</v>
      </c>
      <c r="BM17" s="1">
        <f>+BL17*(1+$AQ$19)</f>
        <v>24602.111707369662</v>
      </c>
      <c r="BN17" s="1">
        <f>+BM17*(1+$AQ$19)</f>
        <v>24848.132824443361</v>
      </c>
      <c r="BO17" s="1">
        <f>+BN17*(1+$AQ$19)</f>
        <v>25096.614152687795</v>
      </c>
      <c r="BP17" s="1">
        <f>+BO17*(1+$AQ$19)</f>
        <v>25347.580294214673</v>
      </c>
      <c r="BQ17" s="1">
        <f>+BP17*(1+$AQ$19)</f>
        <v>25601.056097156819</v>
      </c>
      <c r="BR17" s="1">
        <f>+BQ17*(1+$AQ$19)</f>
        <v>25857.066658128388</v>
      </c>
      <c r="BS17" s="1">
        <f>+BR17*(1+$AQ$19)</f>
        <v>26115.637324709671</v>
      </c>
      <c r="BT17" s="1">
        <f>+BS17*(1+$AQ$19)</f>
        <v>26376.793697956768</v>
      </c>
      <c r="BU17" s="1">
        <f>+BT17*(1+$AQ$19)</f>
        <v>26640.561634936337</v>
      </c>
      <c r="BV17" s="1">
        <f>+BU17*(1+$AQ$19)</f>
        <v>26906.9672512857</v>
      </c>
      <c r="BW17" s="1">
        <f>+BV17*(1+$AQ$19)</f>
        <v>27176.036923798558</v>
      </c>
      <c r="BX17" s="1">
        <f>+BW17*(1+$AQ$19)</f>
        <v>27447.797293036543</v>
      </c>
      <c r="BY17" s="1">
        <f>+BX17*(1+$AQ$19)</f>
        <v>27722.27526596691</v>
      </c>
      <c r="BZ17" s="1">
        <f>+BY17*(1+$AQ$19)</f>
        <v>27999.498018626578</v>
      </c>
      <c r="CA17" s="1">
        <f>+BZ17*(1+$AQ$19)</f>
        <v>28279.492998812846</v>
      </c>
      <c r="CB17" s="1">
        <f>+CA17*(1+$AQ$19)</f>
        <v>28562.287928800975</v>
      </c>
      <c r="CC17" s="1">
        <f>+CB17*(1+$AQ$19)</f>
        <v>28847.910808088986</v>
      </c>
      <c r="CD17" s="1">
        <f>+CC17*(1+$AQ$19)</f>
        <v>29136.389916169876</v>
      </c>
      <c r="CE17" s="1">
        <f>+CD17*(1+$AQ$19)</f>
        <v>29427.753815331576</v>
      </c>
      <c r="CF17" s="1">
        <f>+CE17*(1+$AQ$19)</f>
        <v>29722.031353484894</v>
      </c>
      <c r="CG17" s="1">
        <f>+CF17*(1+$AQ$19)</f>
        <v>30019.251667019744</v>
      </c>
      <c r="CH17" s="1">
        <f>+CG17*(1+$AQ$19)</f>
        <v>30319.444183689942</v>
      </c>
      <c r="CI17" s="1">
        <f>+CH17*(1+$AQ$19)</f>
        <v>30622.638625526841</v>
      </c>
      <c r="CJ17" s="1">
        <f>+CI17*(1+$AQ$19)</f>
        <v>30928.865011782109</v>
      </c>
      <c r="CK17" s="1">
        <f>+CJ17*(1+$AQ$19)</f>
        <v>31238.153661899931</v>
      </c>
      <c r="CL17" s="1">
        <f>+CK17*(1+$AQ$19)</f>
        <v>31550.53519851893</v>
      </c>
      <c r="CM17" s="1">
        <f>+CL17*(1+$AQ$19)</f>
        <v>31866.04055050412</v>
      </c>
      <c r="CN17" s="1">
        <f>+CM17*(1+$AQ$19)</f>
        <v>32184.700956009161</v>
      </c>
      <c r="CO17" s="1">
        <f>+CN17*(1+$AQ$19)</f>
        <v>32506.547965569254</v>
      </c>
      <c r="CP17" s="1">
        <f>+CO17*(1+$AQ$19)</f>
        <v>32831.613445224946</v>
      </c>
      <c r="CQ17" s="1">
        <f>+CP17*(1+$AQ$19)</f>
        <v>33159.929579677198</v>
      </c>
      <c r="CR17" s="1">
        <f>+CQ17*(1+$AQ$19)</f>
        <v>33491.528875473974</v>
      </c>
      <c r="CS17" s="1">
        <f>+CR17*(1+$AQ$19)</f>
        <v>33826.444164228713</v>
      </c>
      <c r="CT17" s="1">
        <f>+CS17*(1+$AQ$19)</f>
        <v>34164.708605870997</v>
      </c>
      <c r="CU17" s="1">
        <f>+CT17*(1+$AQ$19)</f>
        <v>34506.355691929704</v>
      </c>
      <c r="CV17" s="1">
        <f>+CU17*(1+$AQ$19)</f>
        <v>34851.419248849001</v>
      </c>
      <c r="CW17" s="1">
        <f>+CV17*(1+$AQ$19)</f>
        <v>35199.933441337489</v>
      </c>
      <c r="CX17" s="1">
        <f>+CW17*(1+$AQ$19)</f>
        <v>35551.932775750865</v>
      </c>
      <c r="CY17" s="1">
        <f>+CX17*(1+$AQ$19)</f>
        <v>35907.452103508374</v>
      </c>
      <c r="CZ17" s="1">
        <f>+CY17*(1+$AQ$19)</f>
        <v>36266.526624543461</v>
      </c>
      <c r="DA17" s="1">
        <f>+CZ17*(1+$AQ$19)</f>
        <v>36629.191890788898</v>
      </c>
      <c r="DB17" s="1">
        <f>+DA17*(1+$AQ$19)</f>
        <v>36995.483809696787</v>
      </c>
      <c r="DC17" s="1">
        <f>+DB17*(1+$AQ$19)</f>
        <v>37365.438647793759</v>
      </c>
      <c r="DD17" s="1">
        <f>+DC17*(1+$AQ$19)</f>
        <v>37739.093034271697</v>
      </c>
      <c r="DE17" s="1">
        <f>+DD17*(1+$AQ$19)</f>
        <v>38116.483964614417</v>
      </c>
      <c r="DF17" s="1">
        <f>+DE17*(1+$AQ$19)</f>
        <v>38497.648804260563</v>
      </c>
      <c r="DG17" s="1">
        <f>+DF17*(1+$AQ$19)</f>
        <v>38882.625292303172</v>
      </c>
      <c r="DH17" s="1">
        <f>+DG17*(1+$AQ$19)</f>
        <v>39271.451545226206</v>
      </c>
      <c r="DI17" s="1">
        <f>+DH17*(1+$AQ$19)</f>
        <v>39664.166060678472</v>
      </c>
      <c r="DJ17" s="1">
        <f>+DI17*(1+$AQ$19)</f>
        <v>40060.807721285259</v>
      </c>
      <c r="DK17" s="1">
        <f>+DJ17*(1+$AQ$19)</f>
        <v>40461.415798498114</v>
      </c>
      <c r="DL17" s="1">
        <f>+DK17*(1+$AQ$19)</f>
        <v>40866.029956483093</v>
      </c>
      <c r="DM17" s="1">
        <f>+DL17*(1+$AQ$19)</f>
        <v>41274.690256047921</v>
      </c>
      <c r="DN17" s="1">
        <f>+DM17*(1+$AQ$19)</f>
        <v>41687.437158608402</v>
      </c>
      <c r="DO17" s="1">
        <f>+DN17*(1+$AQ$19)</f>
        <v>42104.311530194485</v>
      </c>
      <c r="DP17" s="1">
        <f>+DO17*(1+$AQ$19)</f>
        <v>42525.354645496431</v>
      </c>
      <c r="DQ17" s="1">
        <f>+DP17*(1+$AQ$19)</f>
        <v>42950.608191951396</v>
      </c>
      <c r="DR17" s="1">
        <f>+DQ17*(1+$AQ$19)</f>
        <v>43380.11427387091</v>
      </c>
      <c r="DS17" s="1">
        <f>+DR17*(1+$AQ$19)</f>
        <v>43813.91541660962</v>
      </c>
      <c r="DT17" s="1">
        <f>+DS17*(1+$AQ$19)</f>
        <v>44252.054570775719</v>
      </c>
      <c r="DU17" s="1">
        <f>+DT17*(1+$AQ$19)</f>
        <v>44694.57511648348</v>
      </c>
      <c r="DV17" s="1">
        <f>+DU17*(1+$AQ$19)</f>
        <v>45141.520867648316</v>
      </c>
      <c r="DW17" s="1">
        <f>+DV17*(1+$AQ$19)</f>
        <v>45592.936076324797</v>
      </c>
      <c r="DX17" s="1">
        <f>+DW17*(1+$AQ$19)</f>
        <v>46048.865437088047</v>
      </c>
      <c r="DY17" s="1">
        <f>+DX17*(1+$AQ$19)</f>
        <v>46509.354091458925</v>
      </c>
      <c r="DZ17" s="1">
        <f>+DY17*(1+$AQ$19)</f>
        <v>46974.447632373514</v>
      </c>
      <c r="EA17" s="1">
        <f>+DZ17*(1+$AQ$19)</f>
        <v>47444.192108697251</v>
      </c>
      <c r="EB17" s="1">
        <f>+EA17*(1+$AQ$19)</f>
        <v>47918.634029784225</v>
      </c>
      <c r="EC17" s="1">
        <f>+EB17*(1+$AQ$19)</f>
        <v>48397.820370082067</v>
      </c>
      <c r="ED17" s="1">
        <f>+EC17*(1+$AQ$19)</f>
        <v>48881.798573782886</v>
      </c>
      <c r="EE17" s="1">
        <f>+ED17*(1+$AQ$19)</f>
        <v>49370.616559520713</v>
      </c>
      <c r="EF17" s="1">
        <f>+EE17*(1+$AQ$19)</f>
        <v>49864.322725115919</v>
      </c>
      <c r="EG17" s="1">
        <f>+EF17*(1+$AQ$19)</f>
        <v>50362.965952367078</v>
      </c>
      <c r="EH17" s="1">
        <f>+EG17*(1+$AQ$19)</f>
        <v>50866.595611890749</v>
      </c>
      <c r="EI17" s="1">
        <f>+EH17*(1+$AQ$19)</f>
        <v>51375.261568009657</v>
      </c>
      <c r="EJ17" s="1">
        <f>+EI17*(1+$AQ$19)</f>
        <v>51889.014183689753</v>
      </c>
      <c r="EK17" s="1">
        <f>+EJ17*(1+$AQ$19)</f>
        <v>52407.904325526652</v>
      </c>
    </row>
    <row r="18" spans="2:141" s="7" customFormat="1" x14ac:dyDescent="0.2">
      <c r="B18" s="7" t="s">
        <v>58</v>
      </c>
      <c r="K18" s="7">
        <f>+K17/K19</f>
        <v>2.2215709261430248</v>
      </c>
      <c r="L18" s="7">
        <f>+L17/L19</f>
        <v>2.439624853458382</v>
      </c>
      <c r="M18" s="7">
        <f>+M17/M19</f>
        <v>1.321219226260258</v>
      </c>
      <c r="N18" s="7">
        <f>+N17/N19</f>
        <v>1.8815943728018758</v>
      </c>
      <c r="O18" s="7">
        <f>+O17/O19</f>
        <v>1.3017543859649123</v>
      </c>
      <c r="P18" s="7">
        <f>+P17/P19</f>
        <v>1.6441073512252042</v>
      </c>
      <c r="Q18" s="7">
        <f>+Q17/Q19</f>
        <v>1.8042203985932004</v>
      </c>
      <c r="R18" s="7">
        <f>+R17/R19</f>
        <v>2.0223266745005875</v>
      </c>
      <c r="V18" s="2"/>
      <c r="AB18" s="7">
        <f>+AB17/AB19</f>
        <v>13.53810082063306</v>
      </c>
      <c r="AC18" s="7">
        <f>+AC17/AC19</f>
        <v>7.8640093786635408</v>
      </c>
      <c r="AD18" s="7">
        <f>+AD17/AD19</f>
        <v>6.7704918032786887</v>
      </c>
    </row>
    <row r="19" spans="2:141" s="2" customFormat="1" x14ac:dyDescent="0.2">
      <c r="B19" s="2" t="s">
        <v>57</v>
      </c>
      <c r="K19" s="2">
        <f>127+726</f>
        <v>853</v>
      </c>
      <c r="L19" s="2">
        <f>127+726</f>
        <v>853</v>
      </c>
      <c r="M19" s="2">
        <f>127+726</f>
        <v>853</v>
      </c>
      <c r="N19" s="2">
        <v>853</v>
      </c>
      <c r="O19" s="2">
        <f>126+729</f>
        <v>855</v>
      </c>
      <c r="P19" s="2">
        <f>125+732</f>
        <v>857</v>
      </c>
      <c r="Q19" s="2">
        <f>122+731</f>
        <v>853</v>
      </c>
      <c r="R19" s="2">
        <v>851</v>
      </c>
      <c r="AB19" s="2">
        <v>853</v>
      </c>
      <c r="AC19" s="2">
        <v>853</v>
      </c>
      <c r="AD19" s="2">
        <v>854</v>
      </c>
      <c r="AP19" s="7" t="s">
        <v>56</v>
      </c>
      <c r="AQ19" s="4">
        <v>0.01</v>
      </c>
    </row>
    <row r="20" spans="2:141" x14ac:dyDescent="0.2">
      <c r="U20" s="2"/>
      <c r="V20" s="2"/>
      <c r="AP20" s="2" t="s">
        <v>55</v>
      </c>
      <c r="AQ20" s="4">
        <v>0.08</v>
      </c>
    </row>
    <row r="21" spans="2:141" s="4" customFormat="1" x14ac:dyDescent="0.2">
      <c r="B21" s="4" t="s">
        <v>54</v>
      </c>
      <c r="K21" s="4">
        <f>+K12/K3</f>
        <v>0.11083969465648855</v>
      </c>
      <c r="L21" s="4">
        <f>+L12/L3</f>
        <v>0.1260485150759465</v>
      </c>
      <c r="M21" s="4">
        <f>+M12/M3</f>
        <v>6.376715255685865E-2</v>
      </c>
      <c r="N21" s="4">
        <f>+N12/N3</f>
        <v>9.941004133723963E-2</v>
      </c>
      <c r="O21" s="4">
        <f>+O12/O3</f>
        <v>7.4311250345526589E-2</v>
      </c>
      <c r="P21" s="4">
        <f>+P12/P3</f>
        <v>8.9100742506187547E-2</v>
      </c>
      <c r="Q21" s="4">
        <f>+Q12/Q3</f>
        <v>8.9233535625983365E-2</v>
      </c>
      <c r="R21" s="4">
        <f>+R12/R3</f>
        <v>0.11564760286154697</v>
      </c>
      <c r="AB21" s="4">
        <f>+AB12/AB3</f>
        <v>0.13049891367178934</v>
      </c>
      <c r="AC21" s="4">
        <f>+AC12/AC3</f>
        <v>0.10049693265023417</v>
      </c>
      <c r="AD21" s="4">
        <f>+AD12/AD3</f>
        <v>9.2983419347754476E-2</v>
      </c>
      <c r="AE21" s="4">
        <f>+AE12/AE3</f>
        <v>9.2983419347754406E-2</v>
      </c>
      <c r="AF21" s="4">
        <f>+AF12/AF3</f>
        <v>9.2983419347754476E-2</v>
      </c>
      <c r="AG21" s="4">
        <f>+AG12/AG3</f>
        <v>9.2983419347754392E-2</v>
      </c>
      <c r="AH21" s="4">
        <f>+AH12/AH3</f>
        <v>9.2983419347754406E-2</v>
      </c>
      <c r="AI21" s="4">
        <f>+AI12/AI3</f>
        <v>9.2983419347754337E-2</v>
      </c>
      <c r="AJ21" s="4">
        <f>+AJ12/AJ3</f>
        <v>9.2983419347754365E-2</v>
      </c>
      <c r="AK21" s="4">
        <f>+AK12/AK3</f>
        <v>9.2983419347754406E-2</v>
      </c>
      <c r="AL21" s="4">
        <f>+AL12/AL3</f>
        <v>9.2983419347754434E-2</v>
      </c>
      <c r="AM21" s="4">
        <f>+AM12/AM3</f>
        <v>9.2983419347754365E-2</v>
      </c>
      <c r="AN21" s="4">
        <f>+AN12/AN3</f>
        <v>9.2983419347754379E-2</v>
      </c>
      <c r="AP21" t="s">
        <v>29</v>
      </c>
      <c r="AQ21" s="4">
        <v>0.2</v>
      </c>
    </row>
    <row r="22" spans="2:141" s="4" customFormat="1" x14ac:dyDescent="0.2">
      <c r="B22" s="4" t="s">
        <v>53</v>
      </c>
      <c r="K22" s="4">
        <f>+K17/K3</f>
        <v>8.2660850599781899E-2</v>
      </c>
      <c r="L22" s="4">
        <f>+L17/L3</f>
        <v>9.435502153706643E-2</v>
      </c>
      <c r="M22" s="4">
        <f>+M17/M3</f>
        <v>5.3511229286358673E-2</v>
      </c>
      <c r="N22" s="4">
        <f>+N17/N3</f>
        <v>6.4413853995264281E-2</v>
      </c>
      <c r="O22" s="4">
        <f>+O17/O3</f>
        <v>5.1276144844743389E-2</v>
      </c>
      <c r="P22" s="4">
        <f>+P17/P3</f>
        <v>6.4579704830873594E-2</v>
      </c>
      <c r="Q22" s="4">
        <f>+Q17/Q3</f>
        <v>6.9184086311530682E-2</v>
      </c>
      <c r="R22" s="4">
        <f>+R17/R3</f>
        <v>6.8021026836883922E-2</v>
      </c>
      <c r="AB22" s="4">
        <f>+AB17/AB3</f>
        <v>0.1150909924455341</v>
      </c>
      <c r="AC22" s="4">
        <f>+AC17/AC3</f>
        <v>7.3748323402009722E-2</v>
      </c>
      <c r="AD22" s="4">
        <f>+AD17/AD3</f>
        <v>6.3489623366641046E-2</v>
      </c>
      <c r="AE22" s="4">
        <f>+AE17/AE3</f>
        <v>5.3080639742902523E-2</v>
      </c>
      <c r="AF22" s="4">
        <f>+AF17/AF3</f>
        <v>6.1471772488819673E-2</v>
      </c>
      <c r="AG22" s="4">
        <f>+AG17/AG3</f>
        <v>7.1075880859394008E-2</v>
      </c>
      <c r="AH22" s="4">
        <f>+AH17/AH3</f>
        <v>8.2068305885516807E-2</v>
      </c>
      <c r="AI22" s="4">
        <f>+AI17/AI3</f>
        <v>9.4649734925316698E-2</v>
      </c>
      <c r="AJ22" s="4">
        <f>+AJ17/AJ3</f>
        <v>0.10904986558869169</v>
      </c>
      <c r="AK22" s="4">
        <f>+AK17/AK3</f>
        <v>0.12553159929845556</v>
      </c>
      <c r="AL22" s="4">
        <f>+AL17/AL3</f>
        <v>0.14439584104943282</v>
      </c>
      <c r="AM22" s="4">
        <f>+AM17/AM3</f>
        <v>0.16598699299411557</v>
      </c>
      <c r="AN22" s="4">
        <f>+AN17/AN3</f>
        <v>0.1906992421506041</v>
      </c>
      <c r="AP22" s="4" t="s">
        <v>52</v>
      </c>
      <c r="AQ22" s="2">
        <f>+NPV(AQ20,AE17:EK17)</f>
        <v>193301.01365639252</v>
      </c>
    </row>
    <row r="23" spans="2:141" s="4" customFormat="1" x14ac:dyDescent="0.2">
      <c r="B23" s="4" t="s">
        <v>51</v>
      </c>
      <c r="K23" s="4">
        <f>+K16/K15</f>
        <v>0.24861221252973831</v>
      </c>
      <c r="L23" s="4">
        <f>+L16/L15</f>
        <v>0.23492647058823529</v>
      </c>
      <c r="M23" s="4">
        <f>+M16/M15</f>
        <v>0.11119873817034701</v>
      </c>
      <c r="N23" s="4">
        <f>+N16/N15</f>
        <v>0.22200678623364034</v>
      </c>
      <c r="O23" s="4">
        <f>+O16/O15</f>
        <v>0.275390625</v>
      </c>
      <c r="P23" s="4">
        <f>+P16/P15</f>
        <v>0.24612092027822366</v>
      </c>
      <c r="Q23" s="4">
        <f>+Q16/Q15</f>
        <v>0.19424083769633507</v>
      </c>
      <c r="R23" s="4">
        <f>+R16/R15</f>
        <v>0.19087917254348849</v>
      </c>
      <c r="AB23" s="4">
        <f>+AB16/AB15</f>
        <v>0.22104553119730186</v>
      </c>
      <c r="AC23" s="4">
        <f>+AC16/AC15</f>
        <v>0.21754345036743264</v>
      </c>
      <c r="AD23" s="4">
        <f>+AD16/AD15</f>
        <v>0.22305831765654394</v>
      </c>
      <c r="AE23" s="4">
        <f>+AE16/AE15</f>
        <v>0.22</v>
      </c>
      <c r="AF23" s="4">
        <f>+AF16/AF15</f>
        <v>0.22</v>
      </c>
      <c r="AG23" s="4">
        <f>+AG16/AG15</f>
        <v>0.22</v>
      </c>
      <c r="AH23" s="4">
        <f>+AH16/AH15</f>
        <v>0.22</v>
      </c>
      <c r="AI23" s="4">
        <f>+AI16/AI15</f>
        <v>0.21999999999999997</v>
      </c>
      <c r="AJ23" s="4">
        <f>+AJ16/AJ15</f>
        <v>0.22</v>
      </c>
      <c r="AK23" s="4">
        <f>+AK16/AK15</f>
        <v>0.22</v>
      </c>
      <c r="AL23" s="4">
        <f>+AL16/AL15</f>
        <v>0.22</v>
      </c>
      <c r="AM23" s="4">
        <f>+AM16/AM15</f>
        <v>0.22</v>
      </c>
      <c r="AN23" s="4">
        <f>+AN16/AN15</f>
        <v>0.22</v>
      </c>
      <c r="AP23" s="4" t="s">
        <v>50</v>
      </c>
      <c r="AQ23" s="7">
        <f>+AQ22/[1]Main!C5</f>
        <v>226.30222598200811</v>
      </c>
    </row>
    <row r="24" spans="2:141" s="4" customFormat="1" x14ac:dyDescent="0.2">
      <c r="AP24" s="4" t="s">
        <v>49</v>
      </c>
      <c r="AQ24" s="7">
        <f>+[1]Main!C4</f>
        <v>109.66</v>
      </c>
    </row>
    <row r="25" spans="2:141" s="5" customFormat="1" x14ac:dyDescent="0.2">
      <c r="B25" s="5" t="s">
        <v>48</v>
      </c>
      <c r="G25" s="5" t="e">
        <f>+G3/C3-1</f>
        <v>#DIV/0!</v>
      </c>
      <c r="H25" s="5" t="e">
        <f>+H3/D3-1</f>
        <v>#DIV/0!</v>
      </c>
      <c r="I25" s="5" t="e">
        <f>+I3/E3-1</f>
        <v>#DIV/0!</v>
      </c>
      <c r="J25" s="5" t="e">
        <f>+J3/F3-1</f>
        <v>#DIV/0!</v>
      </c>
      <c r="K25" s="5" t="e">
        <f>+K3/G3-1</f>
        <v>#DIV/0!</v>
      </c>
      <c r="L25" s="5" t="e">
        <f>+L3/H3-1</f>
        <v>#DIV/0!</v>
      </c>
      <c r="M25" s="5" t="e">
        <f>+M3/I3-1</f>
        <v>#DIV/0!</v>
      </c>
      <c r="N25" s="5" t="e">
        <f>+N3/J3-1</f>
        <v>#DIV/0!</v>
      </c>
      <c r="O25" s="5">
        <f>+O3/K3-1</f>
        <v>-5.3173391494002131E-2</v>
      </c>
      <c r="P25" s="5">
        <f>+P3/L3-1</f>
        <v>-1.0745862616186819E-2</v>
      </c>
      <c r="Q25" s="5">
        <f>+Q3/M3-1</f>
        <v>5.6217653482740548E-2</v>
      </c>
      <c r="R25" s="5">
        <f>+R3/N3-1</f>
        <v>1.5411165068025756E-2</v>
      </c>
      <c r="U25" s="5" t="e">
        <f>+U3/T3-1</f>
        <v>#DIV/0!</v>
      </c>
      <c r="V25" s="5" t="e">
        <f>+V3/U3-1</f>
        <v>#DIV/0!</v>
      </c>
      <c r="W25" s="5" t="e">
        <f>+W3/V3-1</f>
        <v>#DIV/0!</v>
      </c>
      <c r="X25" s="5" t="e">
        <f>+X3/W3-1</f>
        <v>#DIV/0!</v>
      </c>
      <c r="Y25" s="5" t="e">
        <f>+Y3/X3-1</f>
        <v>#DIV/0!</v>
      </c>
      <c r="Z25" s="5" t="e">
        <f>+Z3/Y3-1</f>
        <v>#DIV/0!</v>
      </c>
      <c r="AA25" s="5" t="e">
        <f>+AA3/Z3-1</f>
        <v>#DIV/0!</v>
      </c>
      <c r="AB25" s="5" t="e">
        <f>+AB3/AA3-1</f>
        <v>#DIV/0!</v>
      </c>
      <c r="AC25" s="5">
        <f>+AC3/AB3-1</f>
        <v>-9.3484023998883781E-2</v>
      </c>
      <c r="AD25" s="5">
        <f>+AD3/AC3-1</f>
        <v>1.2313375404031657E-3</v>
      </c>
      <c r="AE25" s="5">
        <f>+AE3/AD3-1</f>
        <v>1.0000000000000009E-2</v>
      </c>
      <c r="AF25" s="5">
        <f>+AF3/AE3-1</f>
        <v>1.0000000000000009E-2</v>
      </c>
      <c r="AG25" s="5">
        <f>+AG3/AF3-1</f>
        <v>1.0000000000000009E-2</v>
      </c>
      <c r="AH25" s="5">
        <f>+AH3/AG3-1</f>
        <v>1.0000000000000009E-2</v>
      </c>
      <c r="AI25" s="5">
        <f>+AI3/AH3-1</f>
        <v>1.0000000000000009E-2</v>
      </c>
      <c r="AJ25" s="5">
        <f>+AJ3/AI3-1</f>
        <v>1.0000000000000009E-2</v>
      </c>
      <c r="AK25" s="5">
        <f>+AK3/AJ3-1</f>
        <v>1.0000000000000009E-2</v>
      </c>
      <c r="AL25" s="5">
        <f>+AL3/AK3-1</f>
        <v>1.0000000000000009E-2</v>
      </c>
      <c r="AM25" s="5">
        <f>+AM3/AL3-1</f>
        <v>1.0000000000000009E-2</v>
      </c>
      <c r="AN25" s="5">
        <f>+AN3/AM3-1</f>
        <v>1.0000000000000009E-2</v>
      </c>
      <c r="AP25" s="5" t="s">
        <v>47</v>
      </c>
      <c r="AQ25" s="6">
        <f>+AQ23/AQ24-1</f>
        <v>1.0636715847347085</v>
      </c>
    </row>
    <row r="27" spans="2:141" s="2" customFormat="1" x14ac:dyDescent="0.2">
      <c r="B27" s="2" t="s">
        <v>46</v>
      </c>
      <c r="O27" s="2">
        <f>+O28-O38</f>
        <v>-15500</v>
      </c>
      <c r="P27" s="2">
        <f>+P28-P38</f>
        <v>-15673</v>
      </c>
      <c r="Q27" s="2">
        <f>+Q28-Q38</f>
        <v>-15870</v>
      </c>
      <c r="R27" s="2">
        <f>+R28-R38</f>
        <v>-14966</v>
      </c>
      <c r="AD27" s="2">
        <f>+R27</f>
        <v>-14966</v>
      </c>
      <c r="AE27" s="2">
        <f>+AD27+AE17</f>
        <v>-10083.605600000006</v>
      </c>
      <c r="AF27" s="2">
        <f>+AE27+AF17</f>
        <v>-4372.8467696000071</v>
      </c>
      <c r="AG27" s="2">
        <f>+AF27+AG17</f>
        <v>2296.1684513823848</v>
      </c>
      <c r="AH27" s="2">
        <f>+AG27+AH17</f>
        <v>10073.601840008432</v>
      </c>
      <c r="AI27" s="2">
        <f>+AH27+AI17</f>
        <v>19133.047148362239</v>
      </c>
      <c r="AJ27" s="2">
        <f>+AI27+AJ17</f>
        <v>29675.185559032368</v>
      </c>
      <c r="AK27" s="2">
        <f>+AJ27+AK17</f>
        <v>41932.011392322296</v>
      </c>
      <c r="AL27" s="2">
        <f>+AK27+AL17</f>
        <v>56171.71702446627</v>
      </c>
      <c r="AM27" s="2">
        <f>+AL27+AM17</f>
        <v>72704.339853774116</v>
      </c>
      <c r="AN27" s="2">
        <f>+AM27+AN17</f>
        <v>91888.290194188885</v>
      </c>
    </row>
    <row r="28" spans="2:141" s="2" customFormat="1" x14ac:dyDescent="0.2">
      <c r="B28" s="2" t="s">
        <v>45</v>
      </c>
      <c r="O28" s="2">
        <f>4281+232</f>
        <v>4513</v>
      </c>
      <c r="P28" s="2">
        <f>6319+213</f>
        <v>6532</v>
      </c>
      <c r="Q28" s="2">
        <f>5855+205</f>
        <v>6060</v>
      </c>
      <c r="R28" s="2">
        <f>6112+206</f>
        <v>6318</v>
      </c>
    </row>
    <row r="29" spans="2:141" s="2" customFormat="1" x14ac:dyDescent="0.2">
      <c r="B29" s="2" t="s">
        <v>20</v>
      </c>
      <c r="O29" s="2">
        <v>9554</v>
      </c>
      <c r="P29" s="2">
        <v>9048</v>
      </c>
      <c r="Q29" s="2">
        <v>9195</v>
      </c>
      <c r="R29" s="2">
        <v>10871</v>
      </c>
    </row>
    <row r="30" spans="2:141" s="2" customFormat="1" x14ac:dyDescent="0.2">
      <c r="B30" s="2" t="s">
        <v>44</v>
      </c>
      <c r="O30" s="2">
        <v>898</v>
      </c>
      <c r="P30" s="2">
        <v>1183</v>
      </c>
      <c r="Q30" s="2">
        <v>0</v>
      </c>
      <c r="R30" s="2">
        <v>0</v>
      </c>
    </row>
    <row r="31" spans="2:141" s="2" customFormat="1" x14ac:dyDescent="0.2">
      <c r="B31" s="2" t="s">
        <v>4</v>
      </c>
      <c r="O31" s="2">
        <v>1212</v>
      </c>
      <c r="P31" s="2">
        <v>2060</v>
      </c>
      <c r="Q31" s="2">
        <v>2009</v>
      </c>
      <c r="R31" s="2">
        <v>2121</v>
      </c>
    </row>
    <row r="32" spans="2:141" s="2" customFormat="1" x14ac:dyDescent="0.2">
      <c r="B32" s="2" t="s">
        <v>43</v>
      </c>
      <c r="O32" s="2">
        <v>37168</v>
      </c>
      <c r="P32" s="2">
        <v>37129</v>
      </c>
      <c r="Q32" s="2">
        <v>37389</v>
      </c>
      <c r="R32" s="2">
        <v>37179</v>
      </c>
    </row>
    <row r="33" spans="2:18" s="2" customFormat="1" x14ac:dyDescent="0.2">
      <c r="B33" s="2" t="s">
        <v>40</v>
      </c>
      <c r="O33" s="2">
        <v>4223</v>
      </c>
      <c r="P33" s="2">
        <v>4088</v>
      </c>
      <c r="Q33" s="2">
        <v>4129</v>
      </c>
      <c r="R33" s="2">
        <v>4149</v>
      </c>
    </row>
    <row r="34" spans="2:18" s="2" customFormat="1" x14ac:dyDescent="0.2">
      <c r="B34" s="2" t="s">
        <v>42</v>
      </c>
      <c r="O34" s="2">
        <f>4846+3308</f>
        <v>8154</v>
      </c>
      <c r="P34" s="2">
        <f>4350+3106</f>
        <v>7456</v>
      </c>
      <c r="Q34" s="2">
        <f>4411+3108</f>
        <v>7519</v>
      </c>
      <c r="R34" s="2">
        <f>4300+3064</f>
        <v>7364</v>
      </c>
    </row>
    <row r="35" spans="2:18" s="2" customFormat="1" x14ac:dyDescent="0.2">
      <c r="B35" s="2" t="s">
        <v>22</v>
      </c>
      <c r="O35" s="2">
        <v>126</v>
      </c>
      <c r="P35" s="2">
        <v>123</v>
      </c>
      <c r="Q35" s="2">
        <v>125</v>
      </c>
      <c r="R35" s="2">
        <v>112</v>
      </c>
    </row>
    <row r="36" spans="2:18" s="2" customFormat="1" x14ac:dyDescent="0.2">
      <c r="B36" s="2" t="s">
        <v>4</v>
      </c>
      <c r="O36" s="2">
        <v>1780</v>
      </c>
      <c r="P36" s="2">
        <v>1799</v>
      </c>
      <c r="Q36" s="2">
        <v>1837</v>
      </c>
      <c r="R36" s="2">
        <v>1956</v>
      </c>
    </row>
    <row r="37" spans="2:18" s="1" customFormat="1" x14ac:dyDescent="0.2">
      <c r="B37" s="1" t="s">
        <v>41</v>
      </c>
      <c r="O37" s="1">
        <f>+SUM(O28:O36)</f>
        <v>67628</v>
      </c>
      <c r="P37" s="1">
        <f>+SUM(P28:P36)</f>
        <v>69418</v>
      </c>
      <c r="Q37" s="1">
        <f>+SUM(Q28:Q36)</f>
        <v>68263</v>
      </c>
      <c r="R37" s="1">
        <f>+SUM(R28:R36)</f>
        <v>70070</v>
      </c>
    </row>
    <row r="38" spans="2:18" s="2" customFormat="1" x14ac:dyDescent="0.2">
      <c r="B38" s="2" t="s">
        <v>8</v>
      </c>
      <c r="O38" s="2">
        <f>1164+18849</f>
        <v>20013</v>
      </c>
      <c r="P38" s="2">
        <f>2008+20197</f>
        <v>22205</v>
      </c>
      <c r="Q38" s="2">
        <f>1606+20324</f>
        <v>21930</v>
      </c>
      <c r="R38" s="2">
        <f>1838+19446</f>
        <v>21284</v>
      </c>
    </row>
    <row r="39" spans="2:18" s="2" customFormat="1" x14ac:dyDescent="0.2">
      <c r="B39" s="2" t="s">
        <v>40</v>
      </c>
      <c r="O39" s="2">
        <f>694+3690</f>
        <v>4384</v>
      </c>
      <c r="P39" s="2">
        <f>683+3561</f>
        <v>4244</v>
      </c>
      <c r="Q39" s="2">
        <f>699+3613</f>
        <v>4312</v>
      </c>
      <c r="R39" s="2">
        <f>733+3635</f>
        <v>4368</v>
      </c>
    </row>
    <row r="40" spans="2:18" s="2" customFormat="1" x14ac:dyDescent="0.2">
      <c r="B40" s="2" t="s">
        <v>18</v>
      </c>
      <c r="O40" s="2">
        <v>5397</v>
      </c>
      <c r="P40" s="2">
        <v>5299</v>
      </c>
      <c r="Q40" s="2">
        <v>5410</v>
      </c>
      <c r="R40" s="2">
        <v>6302</v>
      </c>
    </row>
    <row r="41" spans="2:18" s="2" customFormat="1" x14ac:dyDescent="0.2">
      <c r="B41" s="2" t="s">
        <v>17</v>
      </c>
      <c r="O41" s="2">
        <v>3217</v>
      </c>
      <c r="P41" s="2">
        <v>3308</v>
      </c>
      <c r="Q41" s="2">
        <v>3527</v>
      </c>
      <c r="R41" s="2">
        <v>3655</v>
      </c>
    </row>
    <row r="42" spans="2:18" s="2" customFormat="1" x14ac:dyDescent="0.2">
      <c r="B42" s="2" t="s">
        <v>23</v>
      </c>
      <c r="O42" s="2">
        <v>1325</v>
      </c>
      <c r="P42" s="2">
        <v>1273</v>
      </c>
      <c r="Q42" s="2">
        <v>1307</v>
      </c>
      <c r="R42" s="2">
        <v>1086</v>
      </c>
    </row>
    <row r="43" spans="2:18" s="2" customFormat="1" x14ac:dyDescent="0.2">
      <c r="B43" s="2" t="s">
        <v>39</v>
      </c>
      <c r="O43" s="2">
        <v>1573</v>
      </c>
      <c r="P43" s="2">
        <v>1202</v>
      </c>
      <c r="Q43" s="2">
        <v>1239</v>
      </c>
      <c r="R43" s="2">
        <v>1390</v>
      </c>
    </row>
    <row r="44" spans="2:18" s="2" customFormat="1" x14ac:dyDescent="0.2">
      <c r="B44" s="2" t="s">
        <v>38</v>
      </c>
      <c r="P44" s="2">
        <v>373</v>
      </c>
      <c r="Q44" s="2">
        <v>0</v>
      </c>
      <c r="R44" s="2">
        <v>0</v>
      </c>
    </row>
    <row r="45" spans="2:18" s="2" customFormat="1" x14ac:dyDescent="0.2">
      <c r="B45" s="2" t="s">
        <v>4</v>
      </c>
      <c r="O45" s="2">
        <v>1326</v>
      </c>
      <c r="P45" s="2">
        <v>939</v>
      </c>
      <c r="Q45" s="2">
        <v>1293</v>
      </c>
      <c r="R45" s="2">
        <v>1437</v>
      </c>
    </row>
    <row r="46" spans="2:18" s="2" customFormat="1" x14ac:dyDescent="0.2">
      <c r="B46" s="2" t="s">
        <v>37</v>
      </c>
      <c r="O46" s="2">
        <v>6323</v>
      </c>
      <c r="P46" s="2">
        <v>6449</v>
      </c>
      <c r="Q46" s="2">
        <v>5384</v>
      </c>
      <c r="R46" s="2">
        <v>6859</v>
      </c>
    </row>
    <row r="47" spans="2:18" s="2" customFormat="1" x14ac:dyDescent="0.2">
      <c r="B47" s="2" t="s">
        <v>22</v>
      </c>
      <c r="O47" s="2">
        <v>3825</v>
      </c>
      <c r="P47" s="2">
        <v>3841</v>
      </c>
      <c r="Q47" s="2">
        <v>3761</v>
      </c>
      <c r="R47" s="2">
        <v>3595</v>
      </c>
    </row>
    <row r="48" spans="2:18" s="2" customFormat="1" x14ac:dyDescent="0.2">
      <c r="B48" s="2" t="s">
        <v>4</v>
      </c>
      <c r="O48" s="2">
        <v>3312</v>
      </c>
      <c r="P48" s="2">
        <v>3232</v>
      </c>
      <c r="Q48" s="2">
        <v>3216</v>
      </c>
      <c r="R48" s="2">
        <v>3351</v>
      </c>
    </row>
    <row r="49" spans="2:18" s="1" customFormat="1" x14ac:dyDescent="0.2">
      <c r="B49" s="1" t="s">
        <v>36</v>
      </c>
      <c r="O49" s="1">
        <f>+SUM(O38:O48)</f>
        <v>50695</v>
      </c>
      <c r="P49" s="1">
        <f>+SUM(P38:P48)</f>
        <v>52365</v>
      </c>
      <c r="Q49" s="1">
        <f>+SUM(Q38:Q48)</f>
        <v>51379</v>
      </c>
      <c r="R49" s="1">
        <f>+SUM(R38:R48)</f>
        <v>53327</v>
      </c>
    </row>
    <row r="50" spans="2:18" s="2" customFormat="1" x14ac:dyDescent="0.2">
      <c r="B50" s="2" t="s">
        <v>35</v>
      </c>
      <c r="O50" s="2">
        <v>16933</v>
      </c>
      <c r="P50" s="2">
        <v>17053</v>
      </c>
      <c r="Q50" s="2">
        <v>16884</v>
      </c>
      <c r="R50" s="2">
        <v>16743</v>
      </c>
    </row>
    <row r="51" spans="2:18" s="2" customFormat="1" x14ac:dyDescent="0.2">
      <c r="B51" s="2" t="s">
        <v>34</v>
      </c>
      <c r="O51" s="2">
        <f>+O50+O49</f>
        <v>67628</v>
      </c>
      <c r="P51" s="2">
        <f>+P50+P49</f>
        <v>69418</v>
      </c>
      <c r="Q51" s="2">
        <f>+Q50+Q49</f>
        <v>68263</v>
      </c>
      <c r="R51" s="2">
        <f>+R50+R49</f>
        <v>70070</v>
      </c>
    </row>
    <row r="53" spans="2:18" x14ac:dyDescent="0.2">
      <c r="B53" s="4" t="s">
        <v>33</v>
      </c>
      <c r="O53" s="2">
        <f>+SUM(L17:O17)</f>
        <v>5926</v>
      </c>
      <c r="P53" s="2">
        <f>+SUM(M17:P17)</f>
        <v>5254</v>
      </c>
      <c r="Q53" s="2">
        <f>+SUM(N17:Q17)</f>
        <v>5666</v>
      </c>
      <c r="R53" s="2">
        <f>+SUM(O17:R17)</f>
        <v>5782</v>
      </c>
    </row>
    <row r="54" spans="2:18" s="4" customFormat="1" x14ac:dyDescent="0.2">
      <c r="B54" s="4" t="s">
        <v>32</v>
      </c>
      <c r="O54" s="4">
        <f>+O53/(O29+O30+O31+O32+O33+O35+O36)</f>
        <v>0.1078219100816943</v>
      </c>
      <c r="P54" s="4">
        <f>+P53/(P29+P30+P31+P32+P33+P35+P36)</f>
        <v>9.4786216850081179E-2</v>
      </c>
      <c r="Q54" s="4">
        <f>+Q53/(Q29+Q30+Q31+Q32+Q33+Q35+Q36)</f>
        <v>0.10361348840611513</v>
      </c>
      <c r="R54" s="4">
        <f>+R53/(R29+R30+R31+R32+R33+R35+R36)</f>
        <v>0.10253954742143719</v>
      </c>
    </row>
    <row r="56" spans="2:18" x14ac:dyDescent="0.2">
      <c r="B56" s="4" t="s">
        <v>31</v>
      </c>
      <c r="O56" s="2">
        <f>+SUM(L12:O12)-SUM(L16:O16)</f>
        <v>6552</v>
      </c>
      <c r="P56" s="2">
        <f>+SUM(M12:P12)-SUM(M16:P16)</f>
        <v>5895</v>
      </c>
      <c r="Q56" s="2">
        <f>+SUM(N12:Q12)-SUM(N16:Q16)</f>
        <v>6307</v>
      </c>
      <c r="R56" s="2">
        <f>+SUM(O12:R12)-SUM(O16:R16)</f>
        <v>6808</v>
      </c>
    </row>
    <row r="57" spans="2:18" x14ac:dyDescent="0.2">
      <c r="B57" s="4" t="s">
        <v>30</v>
      </c>
      <c r="O57" s="2">
        <f>+O50+O38-O28</f>
        <v>32433</v>
      </c>
      <c r="P57" s="2">
        <f>+P50+P38-P28</f>
        <v>32726</v>
      </c>
      <c r="Q57" s="2">
        <f>+Q50+Q38-Q28</f>
        <v>32754</v>
      </c>
      <c r="R57" s="2">
        <f>+R50+R38-R28</f>
        <v>31709</v>
      </c>
    </row>
    <row r="58" spans="2:18" s="3" customFormat="1" x14ac:dyDescent="0.2">
      <c r="B58" s="3" t="s">
        <v>29</v>
      </c>
      <c r="O58" s="3">
        <f>+O56/O57</f>
        <v>0.20201646471186754</v>
      </c>
      <c r="P58" s="3">
        <f>+P56/P57</f>
        <v>0.18013200513353297</v>
      </c>
      <c r="Q58" s="3">
        <f>+Q56/Q57</f>
        <v>0.19255663430420711</v>
      </c>
      <c r="R58" s="3">
        <f>+R56/R57</f>
        <v>0.21470245040840141</v>
      </c>
    </row>
    <row r="60" spans="2:18" s="2" customFormat="1" x14ac:dyDescent="0.2">
      <c r="B60" s="2" t="s">
        <v>28</v>
      </c>
      <c r="O60" s="2">
        <f>+O17</f>
        <v>1113</v>
      </c>
      <c r="P60" s="2">
        <f>+P17</f>
        <v>1409</v>
      </c>
      <c r="Q60" s="2">
        <f>+Q17</f>
        <v>1539</v>
      </c>
      <c r="R60" s="2">
        <f>+R17</f>
        <v>1721</v>
      </c>
    </row>
    <row r="61" spans="2:18" s="2" customFormat="1" x14ac:dyDescent="0.2">
      <c r="B61" s="2" t="s">
        <v>27</v>
      </c>
      <c r="O61" s="2">
        <v>1113</v>
      </c>
      <c r="P61" s="2">
        <f>2522-O61</f>
        <v>1409</v>
      </c>
      <c r="Q61" s="2">
        <f>4061-SUM(O61:P61)</f>
        <v>1539</v>
      </c>
    </row>
    <row r="62" spans="2:18" s="2" customFormat="1" x14ac:dyDescent="0.2">
      <c r="B62" s="2" t="s">
        <v>26</v>
      </c>
      <c r="O62" s="2">
        <v>898</v>
      </c>
      <c r="P62" s="2">
        <f>1785-O62</f>
        <v>887</v>
      </c>
      <c r="Q62" s="2">
        <f>2690-SUM(O62:P62)</f>
        <v>905</v>
      </c>
    </row>
    <row r="63" spans="2:18" s="2" customFormat="1" x14ac:dyDescent="0.2">
      <c r="B63" s="2" t="s">
        <v>25</v>
      </c>
      <c r="O63" s="2">
        <v>259</v>
      </c>
      <c r="P63" s="2">
        <f>518-O63</f>
        <v>259</v>
      </c>
      <c r="Q63" s="2">
        <f>774-SUM(O63:P63)</f>
        <v>256</v>
      </c>
    </row>
    <row r="64" spans="2:18" s="2" customFormat="1" x14ac:dyDescent="0.2">
      <c r="B64" s="2" t="s">
        <v>24</v>
      </c>
      <c r="O64" s="2">
        <v>-50</v>
      </c>
      <c r="P64" s="2">
        <f>-150-O64</f>
        <v>-100</v>
      </c>
      <c r="Q64" s="2">
        <f>-1434-SUM(O64:P64)</f>
        <v>-1284</v>
      </c>
    </row>
    <row r="65" spans="2:17" s="2" customFormat="1" x14ac:dyDescent="0.2">
      <c r="B65" s="2" t="s">
        <v>23</v>
      </c>
      <c r="O65" s="2">
        <v>27</v>
      </c>
      <c r="P65" s="2">
        <f>-39-O65</f>
        <v>-66</v>
      </c>
      <c r="Q65" s="2">
        <f>14-SUM(O65:P65)</f>
        <v>53</v>
      </c>
    </row>
    <row r="66" spans="2:17" s="2" customFormat="1" x14ac:dyDescent="0.2">
      <c r="B66" s="2" t="s">
        <v>22</v>
      </c>
      <c r="O66" s="2">
        <v>22</v>
      </c>
      <c r="P66" s="2">
        <f>72-O66</f>
        <v>50</v>
      </c>
      <c r="Q66" s="2">
        <f>24-SUM(O66:P66)</f>
        <v>-48</v>
      </c>
    </row>
    <row r="67" spans="2:17" s="2" customFormat="1" x14ac:dyDescent="0.2">
      <c r="B67" s="2" t="s">
        <v>21</v>
      </c>
      <c r="O67" s="2">
        <v>-27</v>
      </c>
      <c r="P67" s="2">
        <f>3-O67</f>
        <v>30</v>
      </c>
      <c r="Q67" s="2">
        <f>-21-SUM(O67:P67)</f>
        <v>-24</v>
      </c>
    </row>
    <row r="68" spans="2:17" s="2" customFormat="1" x14ac:dyDescent="0.2">
      <c r="B68" s="2" t="s">
        <v>4</v>
      </c>
      <c r="O68" s="2">
        <v>129</v>
      </c>
      <c r="P68" s="2">
        <f>166-O68</f>
        <v>37</v>
      </c>
      <c r="Q68" s="2">
        <f>61-SUM(O68:P68)</f>
        <v>-105</v>
      </c>
    </row>
    <row r="69" spans="2:17" s="2" customFormat="1" x14ac:dyDescent="0.2">
      <c r="B69" s="2" t="s">
        <v>20</v>
      </c>
      <c r="O69" s="2">
        <v>1492</v>
      </c>
      <c r="P69" s="2">
        <f>1526-O69</f>
        <v>34</v>
      </c>
      <c r="Q69" s="2">
        <f>1395-SUM(O69:P69)</f>
        <v>-131</v>
      </c>
    </row>
    <row r="70" spans="2:17" s="2" customFormat="1" x14ac:dyDescent="0.2">
      <c r="B70" s="2" t="s">
        <v>19</v>
      </c>
      <c r="O70" s="2">
        <v>55</v>
      </c>
      <c r="P70" s="2">
        <f>73-O70</f>
        <v>18</v>
      </c>
      <c r="Q70" s="2">
        <f>116-SUM(O70:P70)</f>
        <v>43</v>
      </c>
    </row>
    <row r="71" spans="2:17" s="2" customFormat="1" x14ac:dyDescent="0.2">
      <c r="B71" s="2" t="s">
        <v>18</v>
      </c>
      <c r="O71" s="2">
        <v>-799</v>
      </c>
      <c r="P71" s="2">
        <f>-685-O71</f>
        <v>114</v>
      </c>
      <c r="Q71" s="2">
        <f>-829-SUM(O71:P71)</f>
        <v>-144</v>
      </c>
    </row>
    <row r="72" spans="2:17" s="2" customFormat="1" x14ac:dyDescent="0.2">
      <c r="B72" s="2" t="s">
        <v>17</v>
      </c>
      <c r="O72" s="2">
        <v>12</v>
      </c>
      <c r="P72" s="2">
        <f>137-O72</f>
        <v>125</v>
      </c>
      <c r="Q72" s="2">
        <f>348-SUM(O72:P72)</f>
        <v>211</v>
      </c>
    </row>
    <row r="73" spans="2:17" s="2" customFormat="1" x14ac:dyDescent="0.2">
      <c r="B73" s="2" t="s">
        <v>16</v>
      </c>
      <c r="O73" s="2">
        <v>185</v>
      </c>
      <c r="P73" s="2">
        <f>-619-O73</f>
        <v>-804</v>
      </c>
      <c r="Q73" s="2">
        <f>-335-SUM(O73:P73)</f>
        <v>284</v>
      </c>
    </row>
    <row r="74" spans="2:17" s="2" customFormat="1" x14ac:dyDescent="0.2">
      <c r="B74" s="2" t="s">
        <v>15</v>
      </c>
      <c r="O74" s="2">
        <f>+SUM(O69:O73)</f>
        <v>945</v>
      </c>
      <c r="P74" s="2">
        <f>+SUM(P69:P73)</f>
        <v>-513</v>
      </c>
      <c r="Q74" s="2">
        <f>+SUM(Q69:Q73)</f>
        <v>263</v>
      </c>
    </row>
    <row r="75" spans="2:17" s="2" customFormat="1" x14ac:dyDescent="0.2">
      <c r="B75" s="2" t="s">
        <v>4</v>
      </c>
      <c r="O75" s="2">
        <v>0</v>
      </c>
      <c r="P75" s="2">
        <f>0-O75</f>
        <v>0</v>
      </c>
      <c r="Q75" s="2">
        <f>-57-SUM(O75:P75)</f>
        <v>-57</v>
      </c>
    </row>
    <row r="76" spans="2:17" s="1" customFormat="1" x14ac:dyDescent="0.2">
      <c r="B76" s="1" t="s">
        <v>14</v>
      </c>
      <c r="O76" s="1">
        <f>+SUM(O74:O75)+SUM(O61:O68)</f>
        <v>3316</v>
      </c>
      <c r="P76" s="1">
        <f>+SUM(P74:P75)+SUM(P61:P68)</f>
        <v>1993</v>
      </c>
      <c r="Q76" s="1">
        <f>+SUM(Q74:Q75)+SUM(Q61:Q68)</f>
        <v>1498</v>
      </c>
    </row>
    <row r="77" spans="2:17" s="2" customFormat="1" x14ac:dyDescent="0.2"/>
    <row r="78" spans="2:17" s="2" customFormat="1" x14ac:dyDescent="0.2">
      <c r="B78" s="2" t="s">
        <v>13</v>
      </c>
      <c r="O78" s="2">
        <v>-1035</v>
      </c>
      <c r="P78" s="2">
        <f>-1968-O78</f>
        <v>-933</v>
      </c>
      <c r="Q78" s="2">
        <f>-2811-SUM(O78:P78)</f>
        <v>-843</v>
      </c>
    </row>
    <row r="79" spans="2:17" s="2" customFormat="1" x14ac:dyDescent="0.2">
      <c r="B79" s="2" t="s">
        <v>12</v>
      </c>
      <c r="O79" s="2">
        <v>13</v>
      </c>
      <c r="P79" s="2">
        <f>28-O79</f>
        <v>15</v>
      </c>
      <c r="Q79" s="2">
        <f>1070-SUM(O79:P79)</f>
        <v>1042</v>
      </c>
    </row>
    <row r="80" spans="2:17" s="2" customFormat="1" x14ac:dyDescent="0.2">
      <c r="B80" s="2" t="s">
        <v>11</v>
      </c>
      <c r="O80" s="2">
        <f>-50+2696</f>
        <v>2646</v>
      </c>
      <c r="P80" s="2">
        <f>-52+2715-O80</f>
        <v>17</v>
      </c>
      <c r="Q80" s="2">
        <f>-52+2725-SUM(O80:P80)</f>
        <v>10</v>
      </c>
    </row>
    <row r="81" spans="2:17" s="2" customFormat="1" x14ac:dyDescent="0.2">
      <c r="B81" s="2" t="s">
        <v>10</v>
      </c>
      <c r="O81" s="2">
        <v>-44</v>
      </c>
      <c r="P81" s="2">
        <f>-66-O81</f>
        <v>-22</v>
      </c>
      <c r="Q81" s="2">
        <f>-66-SUM(O81:P81)</f>
        <v>0</v>
      </c>
    </row>
    <row r="82" spans="2:17" s="2" customFormat="1" x14ac:dyDescent="0.2">
      <c r="B82" s="2" t="s">
        <v>4</v>
      </c>
      <c r="O82" s="2">
        <v>-14</v>
      </c>
      <c r="P82" s="2">
        <f>-4-O82</f>
        <v>10</v>
      </c>
      <c r="Q82" s="2">
        <f>-26-SUM(O82:P82)</f>
        <v>-22</v>
      </c>
    </row>
    <row r="83" spans="2:17" s="2" customFormat="1" x14ac:dyDescent="0.2">
      <c r="B83" s="2" t="s">
        <v>9</v>
      </c>
      <c r="O83" s="2">
        <f>+SUM(O78:O82)</f>
        <v>1566</v>
      </c>
      <c r="P83" s="2">
        <f>+SUM(P78:P82)</f>
        <v>-913</v>
      </c>
      <c r="Q83" s="2">
        <f>+SUM(Q78:Q82)</f>
        <v>187</v>
      </c>
    </row>
    <row r="84" spans="2:17" s="2" customFormat="1" x14ac:dyDescent="0.2"/>
    <row r="85" spans="2:17" s="2" customFormat="1" x14ac:dyDescent="0.2">
      <c r="B85" s="2" t="s">
        <v>8</v>
      </c>
      <c r="O85" s="2">
        <f>-1272-926</f>
        <v>-2198</v>
      </c>
      <c r="P85" s="2">
        <f>-1272+2785-1508-O85</f>
        <v>2203</v>
      </c>
      <c r="Q85" s="2">
        <f>-1272+2785-1944-SUM(O85:P85)</f>
        <v>-436</v>
      </c>
    </row>
    <row r="86" spans="2:17" s="2" customFormat="1" x14ac:dyDescent="0.2">
      <c r="B86" s="2" t="s">
        <v>7</v>
      </c>
      <c r="O86" s="2">
        <v>0</v>
      </c>
      <c r="P86" s="2">
        <v>0</v>
      </c>
      <c r="Q86" s="2">
        <f>-500-SUM(O86:P86)</f>
        <v>-500</v>
      </c>
    </row>
    <row r="87" spans="2:17" s="2" customFormat="1" x14ac:dyDescent="0.2">
      <c r="B87" s="2" t="s">
        <v>6</v>
      </c>
      <c r="O87" s="2">
        <v>54</v>
      </c>
      <c r="P87" s="2">
        <f>131-O87</f>
        <v>77</v>
      </c>
      <c r="Q87" s="2">
        <f>184-SUM(O87:P87)</f>
        <v>53</v>
      </c>
    </row>
    <row r="88" spans="2:17" s="2" customFormat="1" x14ac:dyDescent="0.2">
      <c r="B88" s="2" t="s">
        <v>5</v>
      </c>
      <c r="O88" s="2">
        <v>-1348</v>
      </c>
      <c r="P88" s="2">
        <f>-2701-O88</f>
        <v>-1353</v>
      </c>
      <c r="Q88" s="2">
        <f>-4049-SUM(O88:P88)</f>
        <v>-1348</v>
      </c>
    </row>
    <row r="89" spans="2:17" s="2" customFormat="1" x14ac:dyDescent="0.2">
      <c r="B89" s="2" t="s">
        <v>4</v>
      </c>
      <c r="O89" s="2">
        <v>-174</v>
      </c>
      <c r="P89" s="2">
        <f>-202-O89</f>
        <v>-28</v>
      </c>
      <c r="Q89" s="2">
        <f>-207-SUM(O89:P89)</f>
        <v>-5</v>
      </c>
    </row>
    <row r="90" spans="2:17" s="2" customFormat="1" x14ac:dyDescent="0.2">
      <c r="B90" s="2" t="s">
        <v>3</v>
      </c>
      <c r="O90" s="2">
        <f>+SUM(O85:O89)</f>
        <v>-3666</v>
      </c>
      <c r="P90" s="2">
        <f>+SUM(P85:P89)</f>
        <v>899</v>
      </c>
      <c r="Q90" s="2">
        <f>+SUM(Q85:Q89)</f>
        <v>-2236</v>
      </c>
    </row>
    <row r="91" spans="2:17" s="2" customFormat="1" x14ac:dyDescent="0.2"/>
    <row r="92" spans="2:17" s="2" customFormat="1" x14ac:dyDescent="0.2">
      <c r="B92" s="2" t="s">
        <v>2</v>
      </c>
      <c r="O92" s="2">
        <v>-48</v>
      </c>
      <c r="P92" s="2">
        <f>-72-O92</f>
        <v>-24</v>
      </c>
      <c r="Q92" s="2">
        <f>5-SUM(O92:P92)</f>
        <v>77</v>
      </c>
    </row>
    <row r="93" spans="2:17" s="2" customFormat="1" x14ac:dyDescent="0.2">
      <c r="B93" s="2" t="s">
        <v>1</v>
      </c>
      <c r="O93" s="2">
        <f>+O92+O90+O83+O76</f>
        <v>1168</v>
      </c>
      <c r="P93" s="2">
        <f>+P92+P90+P83+P76</f>
        <v>1955</v>
      </c>
      <c r="Q93" s="2">
        <f>+Q92+Q90+Q83+Q76</f>
        <v>-474</v>
      </c>
    </row>
    <row r="94" spans="2:17" s="2" customFormat="1" x14ac:dyDescent="0.2"/>
    <row r="95" spans="2:17" s="1" customFormat="1" x14ac:dyDescent="0.2">
      <c r="B95" s="1" t="s">
        <v>0</v>
      </c>
      <c r="O95" s="1">
        <f>+O76+O78</f>
        <v>2281</v>
      </c>
      <c r="P95" s="1">
        <f>+P76+P78</f>
        <v>1060</v>
      </c>
      <c r="Q95" s="1">
        <f>+Q76+Q78</f>
        <v>655</v>
      </c>
    </row>
  </sheetData>
  <hyperlinks>
    <hyperlink ref="A1" location="Main!A1" display="Main" xr:uid="{883229DC-2303-43F8-A249-4BBDD91B2C1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2025-04-09T15:16:59Z</dcterms:created>
  <dcterms:modified xsi:type="dcterms:W3CDTF">2025-04-09T15:18:22Z</dcterms:modified>
</cp:coreProperties>
</file>