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oftware\Fintech\"/>
    </mc:Choice>
  </mc:AlternateContent>
  <xr:revisionPtr revIDLastSave="0" documentId="13_ncr:1_{41F87CA2-5B05-40E9-8CAB-A54CD826EDAA}" xr6:coauthVersionLast="47" xr6:coauthVersionMax="47" xr10:uidLastSave="{00000000-0000-0000-0000-000000000000}"/>
  <bookViews>
    <workbookView xWindow="14505" yWindow="75" windowWidth="14235" windowHeight="15495" xr2:uid="{5C870BBA-D338-4729-A6A0-0DD5E41BDE8A}"/>
  </bookViews>
  <sheets>
    <sheet name="Main" sheetId="1" r:id="rId1"/>
    <sheet name="Model" sheetId="3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" i="3" l="1"/>
  <c r="O81" i="3"/>
  <c r="X21" i="3"/>
  <c r="X18" i="3"/>
  <c r="Y43" i="3"/>
  <c r="Y39" i="3" l="1"/>
  <c r="Z39" i="3" s="1"/>
  <c r="AA39" i="3" s="1"/>
  <c r="AB39" i="3" s="1"/>
  <c r="AC39" i="3" s="1"/>
  <c r="AD39" i="3" s="1"/>
  <c r="AE39" i="3" s="1"/>
  <c r="AF39" i="3" s="1"/>
  <c r="AG39" i="3" s="1"/>
  <c r="AH39" i="3" s="1"/>
  <c r="L4" i="1"/>
  <c r="X69" i="3" l="1"/>
  <c r="X77" i="3" s="1"/>
  <c r="X79" i="3" s="1"/>
  <c r="X65" i="3"/>
  <c r="X62" i="3"/>
  <c r="X58" i="3"/>
  <c r="X57" i="3" s="1"/>
  <c r="X104" i="3"/>
  <c r="X106" i="3" s="1"/>
  <c r="X99" i="3"/>
  <c r="X97" i="3"/>
  <c r="X93" i="3"/>
  <c r="X94" i="3" s="1"/>
  <c r="C40" i="3"/>
  <c r="C41" i="3" s="1"/>
  <c r="D40" i="3"/>
  <c r="D41" i="3" s="1"/>
  <c r="E40" i="3"/>
  <c r="E41" i="3" s="1"/>
  <c r="F40" i="3"/>
  <c r="F41" i="3" s="1"/>
  <c r="J55" i="3"/>
  <c r="J40" i="3"/>
  <c r="J41" i="3" s="1"/>
  <c r="G55" i="3"/>
  <c r="G40" i="3"/>
  <c r="G41" i="3" s="1"/>
  <c r="I55" i="3"/>
  <c r="I40" i="3"/>
  <c r="I41" i="3" s="1"/>
  <c r="I51" i="3" s="1"/>
  <c r="M69" i="3"/>
  <c r="M77" i="3" s="1"/>
  <c r="M79" i="3" s="1"/>
  <c r="M65" i="3"/>
  <c r="M62" i="3"/>
  <c r="M58" i="3"/>
  <c r="M57" i="3" s="1"/>
  <c r="L107" i="3"/>
  <c r="M107" i="3" s="1"/>
  <c r="L105" i="3"/>
  <c r="M105" i="3" s="1"/>
  <c r="L103" i="3"/>
  <c r="L102" i="3"/>
  <c r="L98" i="3"/>
  <c r="M98" i="3" s="1"/>
  <c r="L96" i="3"/>
  <c r="M96" i="3" s="1"/>
  <c r="L92" i="3"/>
  <c r="L91" i="3"/>
  <c r="M91" i="3" s="1"/>
  <c r="L90" i="3"/>
  <c r="L89" i="3"/>
  <c r="L88" i="3"/>
  <c r="M88" i="3" s="1"/>
  <c r="L87" i="3"/>
  <c r="M87" i="3" s="1"/>
  <c r="N87" i="3" s="1"/>
  <c r="L86" i="3"/>
  <c r="L85" i="3"/>
  <c r="M85" i="3" s="1"/>
  <c r="H55" i="3"/>
  <c r="H40" i="3"/>
  <c r="H41" i="3" s="1"/>
  <c r="L69" i="3"/>
  <c r="L77" i="3" s="1"/>
  <c r="L79" i="3" s="1"/>
  <c r="L65" i="3"/>
  <c r="L62" i="3"/>
  <c r="L58" i="3"/>
  <c r="L57" i="3" s="1"/>
  <c r="K104" i="3"/>
  <c r="L104" i="3" s="1"/>
  <c r="K99" i="3"/>
  <c r="L99" i="3" s="1"/>
  <c r="K97" i="3"/>
  <c r="L97" i="3" s="1"/>
  <c r="M97" i="3" s="1"/>
  <c r="K93" i="3"/>
  <c r="L93" i="3" s="1"/>
  <c r="N69" i="3"/>
  <c r="N77" i="3" s="1"/>
  <c r="N79" i="3" s="1"/>
  <c r="O69" i="3"/>
  <c r="N65" i="3"/>
  <c r="N62" i="3"/>
  <c r="N58" i="3"/>
  <c r="O58" i="3"/>
  <c r="L55" i="3"/>
  <c r="L40" i="3"/>
  <c r="L41" i="3" s="1"/>
  <c r="M55" i="3"/>
  <c r="M40" i="3"/>
  <c r="M41" i="3" s="1"/>
  <c r="O104" i="3"/>
  <c r="O106" i="3" s="1"/>
  <c r="O99" i="3"/>
  <c r="O100" i="3" s="1"/>
  <c r="O93" i="3"/>
  <c r="O94" i="3" s="1"/>
  <c r="L67" i="3" l="1"/>
  <c r="M67" i="3"/>
  <c r="N88" i="3"/>
  <c r="N105" i="3"/>
  <c r="M102" i="3"/>
  <c r="N102" i="3" s="1"/>
  <c r="N97" i="3"/>
  <c r="M92" i="3"/>
  <c r="N92" i="3" s="1"/>
  <c r="N91" i="3"/>
  <c r="N96" i="3"/>
  <c r="M86" i="3"/>
  <c r="N86" i="3" s="1"/>
  <c r="M99" i="3"/>
  <c r="N99" i="3" s="1"/>
  <c r="K94" i="3"/>
  <c r="K110" i="3" s="1"/>
  <c r="L94" i="3"/>
  <c r="X100" i="3"/>
  <c r="X108" i="3" s="1"/>
  <c r="L106" i="3"/>
  <c r="K106" i="3"/>
  <c r="N107" i="3"/>
  <c r="M89" i="3"/>
  <c r="N89" i="3" s="1"/>
  <c r="M103" i="3"/>
  <c r="M90" i="3"/>
  <c r="N90" i="3" s="1"/>
  <c r="M104" i="3"/>
  <c r="N104" i="3" s="1"/>
  <c r="N85" i="3"/>
  <c r="L100" i="3"/>
  <c r="N98" i="3"/>
  <c r="M93" i="3"/>
  <c r="N93" i="3" s="1"/>
  <c r="X67" i="3"/>
  <c r="C51" i="3"/>
  <c r="C44" i="3"/>
  <c r="D51" i="3"/>
  <c r="D44" i="3"/>
  <c r="E51" i="3"/>
  <c r="E44" i="3"/>
  <c r="F44" i="3"/>
  <c r="F51" i="3"/>
  <c r="J51" i="3"/>
  <c r="J44" i="3"/>
  <c r="G51" i="3"/>
  <c r="G44" i="3"/>
  <c r="I44" i="3"/>
  <c r="H44" i="3"/>
  <c r="H51" i="3"/>
  <c r="K100" i="3"/>
  <c r="N67" i="3"/>
  <c r="N57" i="3"/>
  <c r="L44" i="3"/>
  <c r="L51" i="3"/>
  <c r="M51" i="3"/>
  <c r="M44" i="3"/>
  <c r="O108" i="3"/>
  <c r="O110" i="3"/>
  <c r="K17" i="3"/>
  <c r="X19" i="3"/>
  <c r="W23" i="3"/>
  <c r="W17" i="3"/>
  <c r="X16" i="3"/>
  <c r="X15" i="3"/>
  <c r="X14" i="3"/>
  <c r="X13" i="3"/>
  <c r="X12" i="3"/>
  <c r="X11" i="3"/>
  <c r="X25" i="3"/>
  <c r="X26" i="3"/>
  <c r="X22" i="3"/>
  <c r="N23" i="3"/>
  <c r="M23" i="3"/>
  <c r="L23" i="3"/>
  <c r="K23" i="3"/>
  <c r="L17" i="3"/>
  <c r="M17" i="3"/>
  <c r="N17" i="3"/>
  <c r="O17" i="3"/>
  <c r="O23" i="3"/>
  <c r="K55" i="3"/>
  <c r="N55" i="3"/>
  <c r="N48" i="3"/>
  <c r="N40" i="3"/>
  <c r="N41" i="3" s="1"/>
  <c r="N51" i="3" s="1"/>
  <c r="Q34" i="3"/>
  <c r="Y34" i="3"/>
  <c r="Q35" i="3"/>
  <c r="Y35" i="3"/>
  <c r="Z35" i="3" s="1"/>
  <c r="Q36" i="3"/>
  <c r="Y36" i="3"/>
  <c r="Z36" i="3" s="1"/>
  <c r="AA36" i="3" s="1"/>
  <c r="AB36" i="3" s="1"/>
  <c r="AC36" i="3" s="1"/>
  <c r="AD36" i="3" s="1"/>
  <c r="AE36" i="3" s="1"/>
  <c r="AF36" i="3" s="1"/>
  <c r="AG36" i="3" s="1"/>
  <c r="AH36" i="3" s="1"/>
  <c r="Q37" i="3"/>
  <c r="Y37" i="3"/>
  <c r="Z37" i="3" s="1"/>
  <c r="AA37" i="3" s="1"/>
  <c r="AB37" i="3" s="1"/>
  <c r="AC37" i="3" s="1"/>
  <c r="AD37" i="3" s="1"/>
  <c r="AE37" i="3" s="1"/>
  <c r="AF37" i="3" s="1"/>
  <c r="AG37" i="3" s="1"/>
  <c r="AH37" i="3" s="1"/>
  <c r="Q38" i="3"/>
  <c r="Y38" i="3"/>
  <c r="Z38" i="3" s="1"/>
  <c r="AA38" i="3" s="1"/>
  <c r="AB38" i="3" s="1"/>
  <c r="AC38" i="3" s="1"/>
  <c r="AD38" i="3" s="1"/>
  <c r="AE38" i="3" s="1"/>
  <c r="AF38" i="3" s="1"/>
  <c r="AG38" i="3" s="1"/>
  <c r="AH38" i="3" s="1"/>
  <c r="Q39" i="3"/>
  <c r="K40" i="3"/>
  <c r="K41" i="3" s="1"/>
  <c r="O40" i="3"/>
  <c r="O41" i="3" s="1"/>
  <c r="S40" i="3"/>
  <c r="S41" i="3" s="1"/>
  <c r="T40" i="3"/>
  <c r="T41" i="3" s="1"/>
  <c r="U40" i="3"/>
  <c r="U41" i="3" s="1"/>
  <c r="V40" i="3"/>
  <c r="V41" i="3" s="1"/>
  <c r="W40" i="3"/>
  <c r="W41" i="3" s="1"/>
  <c r="X40" i="3"/>
  <c r="X41" i="3" s="1"/>
  <c r="Q42" i="3"/>
  <c r="Q43" i="3"/>
  <c r="S50" i="3"/>
  <c r="T50" i="3"/>
  <c r="U50" i="3"/>
  <c r="V50" i="3"/>
  <c r="W50" i="3"/>
  <c r="X50" i="3"/>
  <c r="O55" i="3"/>
  <c r="T55" i="3"/>
  <c r="U55" i="3"/>
  <c r="V55" i="3"/>
  <c r="W55" i="3"/>
  <c r="X55" i="3"/>
  <c r="S110" i="3"/>
  <c r="T110" i="3"/>
  <c r="U110" i="3"/>
  <c r="V110" i="3"/>
  <c r="W110" i="3"/>
  <c r="X110" i="3"/>
  <c r="O62" i="3"/>
  <c r="O65" i="3"/>
  <c r="O74" i="3"/>
  <c r="O57" i="3" s="1"/>
  <c r="L7" i="1"/>
  <c r="L5" i="1"/>
  <c r="L8" i="1" s="1"/>
  <c r="L10" i="1" s="1"/>
  <c r="W27" i="3" l="1"/>
  <c r="W3" i="3"/>
  <c r="W9" i="3" s="1"/>
  <c r="Y55" i="3"/>
  <c r="Y42" i="3"/>
  <c r="M106" i="3"/>
  <c r="M100" i="3"/>
  <c r="K108" i="3"/>
  <c r="N100" i="3"/>
  <c r="N103" i="3"/>
  <c r="N106" i="3" s="1"/>
  <c r="M94" i="3"/>
  <c r="L110" i="3"/>
  <c r="L108" i="3"/>
  <c r="N94" i="3"/>
  <c r="C53" i="3"/>
  <c r="C46" i="3"/>
  <c r="D53" i="3"/>
  <c r="D46" i="3"/>
  <c r="E53" i="3"/>
  <c r="E46" i="3"/>
  <c r="F53" i="3"/>
  <c r="F46" i="3"/>
  <c r="J53" i="3"/>
  <c r="J46" i="3"/>
  <c r="G53" i="3"/>
  <c r="G46" i="3"/>
  <c r="I53" i="3"/>
  <c r="I46" i="3"/>
  <c r="H53" i="3"/>
  <c r="H46" i="3"/>
  <c r="O44" i="3"/>
  <c r="O53" i="3" s="1"/>
  <c r="O51" i="3"/>
  <c r="L53" i="3"/>
  <c r="L46" i="3"/>
  <c r="M53" i="3"/>
  <c r="M46" i="3"/>
  <c r="M84" i="3" s="1"/>
  <c r="X23" i="3"/>
  <c r="X17" i="3"/>
  <c r="N44" i="3"/>
  <c r="N53" i="3" s="1"/>
  <c r="O77" i="3"/>
  <c r="O79" i="3" s="1"/>
  <c r="T44" i="3"/>
  <c r="T51" i="3"/>
  <c r="V51" i="3"/>
  <c r="V44" i="3"/>
  <c r="S44" i="3"/>
  <c r="S46" i="3" s="1"/>
  <c r="S52" i="3" s="1"/>
  <c r="S51" i="3"/>
  <c r="K44" i="3"/>
  <c r="K51" i="3"/>
  <c r="W51" i="3"/>
  <c r="W44" i="3"/>
  <c r="U44" i="3"/>
  <c r="U51" i="3"/>
  <c r="O67" i="3"/>
  <c r="X51" i="3"/>
  <c r="X44" i="3"/>
  <c r="AA35" i="3"/>
  <c r="AB35" i="3" s="1"/>
  <c r="AC35" i="3" s="1"/>
  <c r="AD35" i="3" s="1"/>
  <c r="AE35" i="3" s="1"/>
  <c r="AF35" i="3" s="1"/>
  <c r="AG35" i="3" s="1"/>
  <c r="AH35" i="3" s="1"/>
  <c r="Z40" i="3"/>
  <c r="Z34" i="3"/>
  <c r="Z42" i="3" s="1"/>
  <c r="Y40" i="3"/>
  <c r="Y41" i="3" s="1"/>
  <c r="Y50" i="3"/>
  <c r="L84" i="3" l="1"/>
  <c r="X27" i="3"/>
  <c r="X3" i="3"/>
  <c r="O46" i="3"/>
  <c r="O84" i="3" s="1"/>
  <c r="N110" i="3"/>
  <c r="N108" i="3"/>
  <c r="M110" i="3"/>
  <c r="M108" i="3"/>
  <c r="C52" i="3"/>
  <c r="C47" i="3"/>
  <c r="D52" i="3"/>
  <c r="D47" i="3"/>
  <c r="E52" i="3"/>
  <c r="E47" i="3"/>
  <c r="F52" i="3"/>
  <c r="F47" i="3"/>
  <c r="J52" i="3"/>
  <c r="J47" i="3"/>
  <c r="G52" i="3"/>
  <c r="G47" i="3"/>
  <c r="I52" i="3"/>
  <c r="I47" i="3"/>
  <c r="H52" i="3"/>
  <c r="H47" i="3"/>
  <c r="L47" i="3"/>
  <c r="L52" i="3"/>
  <c r="M52" i="3"/>
  <c r="M47" i="3"/>
  <c r="N46" i="3"/>
  <c r="N84" i="3" s="1"/>
  <c r="S53" i="3"/>
  <c r="K46" i="3"/>
  <c r="K84" i="3" s="1"/>
  <c r="K53" i="3"/>
  <c r="V53" i="3"/>
  <c r="V46" i="3"/>
  <c r="V52" i="3" s="1"/>
  <c r="W46" i="3"/>
  <c r="W52" i="3" s="1"/>
  <c r="W53" i="3"/>
  <c r="U46" i="3"/>
  <c r="U52" i="3" s="1"/>
  <c r="U53" i="3"/>
  <c r="T46" i="3"/>
  <c r="T52" i="3" s="1"/>
  <c r="T53" i="3"/>
  <c r="Y51" i="3"/>
  <c r="Y44" i="3"/>
  <c r="AA40" i="3"/>
  <c r="AA34" i="3"/>
  <c r="Z55" i="3"/>
  <c r="Z41" i="3"/>
  <c r="X53" i="3"/>
  <c r="X46" i="3"/>
  <c r="AB34" i="3" l="1"/>
  <c r="AA42" i="3"/>
  <c r="O111" i="3"/>
  <c r="X52" i="3"/>
  <c r="X84" i="3"/>
  <c r="N111" i="3"/>
  <c r="O47" i="3"/>
  <c r="O52" i="3"/>
  <c r="K52" i="3"/>
  <c r="K47" i="3"/>
  <c r="N52" i="3"/>
  <c r="N47" i="3"/>
  <c r="Y45" i="3"/>
  <c r="Y53" i="3" s="1"/>
  <c r="Z51" i="3"/>
  <c r="AB40" i="3"/>
  <c r="AA55" i="3"/>
  <c r="AA41" i="3"/>
  <c r="AC34" i="3" l="1"/>
  <c r="AB42" i="3"/>
  <c r="Y46" i="3"/>
  <c r="AC40" i="3"/>
  <c r="AA51" i="3"/>
  <c r="AB41" i="3"/>
  <c r="AB55" i="3"/>
  <c r="Y57" i="3" l="1"/>
  <c r="Z43" i="3" s="1"/>
  <c r="AD34" i="3"/>
  <c r="AC42" i="3"/>
  <c r="Y52" i="3"/>
  <c r="AC41" i="3"/>
  <c r="AC55" i="3"/>
  <c r="AB51" i="3"/>
  <c r="AD40" i="3"/>
  <c r="AE34" i="3" l="1"/>
  <c r="AD42" i="3"/>
  <c r="Z50" i="3"/>
  <c r="AE40" i="3"/>
  <c r="AD41" i="3"/>
  <c r="AD55" i="3"/>
  <c r="AC51" i="3"/>
  <c r="AF34" i="3" l="1"/>
  <c r="AE42" i="3"/>
  <c r="Z44" i="3"/>
  <c r="Z45" i="3" s="1"/>
  <c r="Z53" i="3" s="1"/>
  <c r="AE41" i="3"/>
  <c r="AE55" i="3"/>
  <c r="AD51" i="3"/>
  <c r="AF40" i="3"/>
  <c r="AG34" i="3" l="1"/>
  <c r="AF42" i="3"/>
  <c r="Z46" i="3"/>
  <c r="AG40" i="3"/>
  <c r="AF41" i="3"/>
  <c r="AF55" i="3"/>
  <c r="AE51" i="3"/>
  <c r="AH34" i="3" l="1"/>
  <c r="AH42" i="3" s="1"/>
  <c r="AG42" i="3"/>
  <c r="Z52" i="3"/>
  <c r="Z57" i="3"/>
  <c r="AF51" i="3"/>
  <c r="AG41" i="3"/>
  <c r="AG55" i="3"/>
  <c r="AH40" i="3"/>
  <c r="AA50" i="3" l="1"/>
  <c r="AA43" i="3"/>
  <c r="AA44" i="3" s="1"/>
  <c r="AA45" i="3" s="1"/>
  <c r="AA53" i="3" s="1"/>
  <c r="AH41" i="3"/>
  <c r="AH55" i="3"/>
  <c r="AG51" i="3"/>
  <c r="AA46" i="3" l="1"/>
  <c r="AH51" i="3"/>
  <c r="AA57" i="3" l="1"/>
  <c r="AA52" i="3"/>
  <c r="AB50" i="3" l="1"/>
  <c r="AB43" i="3"/>
  <c r="AB44" i="3" s="1"/>
  <c r="AB45" i="3" s="1"/>
  <c r="AB53" i="3" s="1"/>
  <c r="AB46" i="3" l="1"/>
  <c r="AB57" i="3" s="1"/>
  <c r="AB52" i="3"/>
  <c r="AC50" i="3" l="1"/>
  <c r="AC43" i="3"/>
  <c r="AC44" i="3" s="1"/>
  <c r="AC45" i="3" s="1"/>
  <c r="AC53" i="3" s="1"/>
  <c r="AC46" i="3" l="1"/>
  <c r="AC52" i="3" l="1"/>
  <c r="AC57" i="3"/>
  <c r="AD43" i="3" s="1"/>
  <c r="AD50" i="3" l="1"/>
  <c r="AD44" i="3" l="1"/>
  <c r="AD45" i="3" s="1"/>
  <c r="AD53" i="3" s="1"/>
  <c r="AD46" i="3" l="1"/>
  <c r="AD52" i="3" l="1"/>
  <c r="AD57" i="3"/>
  <c r="AE43" i="3" s="1"/>
  <c r="AE50" i="3" l="1"/>
  <c r="AE44" i="3" l="1"/>
  <c r="AE45" i="3" l="1"/>
  <c r="AE53" i="3" s="1"/>
  <c r="AE46" i="3" l="1"/>
  <c r="AE52" i="3" s="1"/>
  <c r="AE57" i="3" l="1"/>
  <c r="AF50" i="3" l="1"/>
  <c r="AF43" i="3"/>
  <c r="AF44" i="3"/>
  <c r="AF45" i="3" s="1"/>
  <c r="AF53" i="3" s="1"/>
  <c r="AF46" i="3" l="1"/>
  <c r="AF52" i="3" l="1"/>
  <c r="AF57" i="3"/>
  <c r="AG50" i="3" l="1"/>
  <c r="AG43" i="3"/>
  <c r="AG44" i="3" s="1"/>
  <c r="AG45" i="3" s="1"/>
  <c r="AG53" i="3" s="1"/>
  <c r="AG46" i="3" l="1"/>
  <c r="AG57" i="3" s="1"/>
  <c r="AH50" i="3" l="1"/>
  <c r="AH43" i="3"/>
  <c r="AG52" i="3"/>
  <c r="AH44" i="3"/>
  <c r="AH45" i="3" l="1"/>
  <c r="AH53" i="3" s="1"/>
  <c r="AH46" i="3" l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6" i="3" s="1"/>
  <c r="DR46" i="3" s="1"/>
  <c r="DS46" i="3" s="1"/>
  <c r="DT46" i="3" s="1"/>
  <c r="DU46" i="3" s="1"/>
  <c r="DV46" i="3" s="1"/>
  <c r="DW46" i="3" s="1"/>
  <c r="DX46" i="3" s="1"/>
  <c r="DY46" i="3" s="1"/>
  <c r="DZ46" i="3" s="1"/>
  <c r="EA46" i="3" s="1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AK52" i="3" s="1"/>
  <c r="AK53" i="3" s="1"/>
  <c r="AK54" i="3" s="1"/>
  <c r="AH57" i="3" l="1"/>
  <c r="AH52" i="3"/>
</calcChain>
</file>

<file path=xl/sharedStrings.xml><?xml version="1.0" encoding="utf-8"?>
<sst xmlns="http://schemas.openxmlformats.org/spreadsheetml/2006/main" count="160" uniqueCount="139">
  <si>
    <t>VISA</t>
  </si>
  <si>
    <t>Price</t>
  </si>
  <si>
    <t>Shares</t>
  </si>
  <si>
    <t>MC</t>
  </si>
  <si>
    <t>Cash</t>
  </si>
  <si>
    <t>Debt</t>
  </si>
  <si>
    <t>EV</t>
  </si>
  <si>
    <t>FCF</t>
  </si>
  <si>
    <t>L+S/E</t>
  </si>
  <si>
    <t>S/E</t>
  </si>
  <si>
    <t>Liabilties</t>
  </si>
  <si>
    <t>Other</t>
  </si>
  <si>
    <t>Assets</t>
  </si>
  <si>
    <t>Goodwill</t>
  </si>
  <si>
    <t>PP&amp;E</t>
  </si>
  <si>
    <t>Prepaid</t>
  </si>
  <si>
    <t>Investment</t>
  </si>
  <si>
    <t>Net cash</t>
  </si>
  <si>
    <t>NPV</t>
  </si>
  <si>
    <t>CapEx</t>
  </si>
  <si>
    <t>Discount</t>
  </si>
  <si>
    <t>CFFO</t>
  </si>
  <si>
    <t>Terminal</t>
  </si>
  <si>
    <t>Revenue y/y</t>
  </si>
  <si>
    <t>Tax margin</t>
  </si>
  <si>
    <t>Net margin</t>
  </si>
  <si>
    <t>Operating margin</t>
  </si>
  <si>
    <t>Interest margin</t>
  </si>
  <si>
    <t>EPS</t>
  </si>
  <si>
    <t>Net income</t>
  </si>
  <si>
    <t>Taxes</t>
  </si>
  <si>
    <t>Pretax</t>
  </si>
  <si>
    <t>Interest expense</t>
  </si>
  <si>
    <t>Operating income</t>
  </si>
  <si>
    <t>Operating expense</t>
  </si>
  <si>
    <t>G&amp;A</t>
  </si>
  <si>
    <t>D&amp;A</t>
  </si>
  <si>
    <t>Profession fees</t>
  </si>
  <si>
    <t>Network an processing</t>
  </si>
  <si>
    <t>Marketing</t>
  </si>
  <si>
    <t>Personnel</t>
  </si>
  <si>
    <t>Revenue</t>
  </si>
  <si>
    <t>Upside</t>
  </si>
  <si>
    <t>FQ125</t>
  </si>
  <si>
    <t>FQ424</t>
  </si>
  <si>
    <t>FQ324</t>
  </si>
  <si>
    <t>FQ224</t>
  </si>
  <si>
    <t>FQ124</t>
  </si>
  <si>
    <t>FQ423</t>
  </si>
  <si>
    <t>FQ323</t>
  </si>
  <si>
    <t>FQ223</t>
  </si>
  <si>
    <t>FQ123</t>
  </si>
  <si>
    <t>FQ422</t>
  </si>
  <si>
    <t>FQ322</t>
  </si>
  <si>
    <t>FQ222</t>
  </si>
  <si>
    <t>FQ122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</si>
  <si>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</si>
  <si>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</si>
  <si>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</si>
  <si>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</si>
  <si>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</si>
  <si>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</si>
  <si>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</si>
  <si>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</si>
  <si>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</si>
  <si>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</si>
  <si>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</si>
  <si>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</si>
  <si>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</si>
  <si>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</si>
  <si>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</si>
  <si>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</si>
  <si>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Model NI</t>
  </si>
  <si>
    <t>Reported NI</t>
  </si>
  <si>
    <t>Credit</t>
  </si>
  <si>
    <t>Debit</t>
  </si>
  <si>
    <t>Service</t>
  </si>
  <si>
    <t>Data Processing</t>
  </si>
  <si>
    <t>International</t>
  </si>
  <si>
    <t>Credit transactions</t>
  </si>
  <si>
    <t>Debit transactions</t>
  </si>
  <si>
    <t>Total transactions</t>
  </si>
  <si>
    <t>Incentives</t>
  </si>
  <si>
    <t>APAC TPV</t>
  </si>
  <si>
    <t>Canada TPV</t>
  </si>
  <si>
    <t>CEMEA TPV</t>
  </si>
  <si>
    <t>LAC TPV</t>
  </si>
  <si>
    <t>US TPV</t>
  </si>
  <si>
    <t>EU TPV</t>
  </si>
  <si>
    <t>Total TPV</t>
  </si>
  <si>
    <t>Accounts</t>
  </si>
  <si>
    <t>Cards</t>
  </si>
  <si>
    <t>SBC</t>
  </si>
  <si>
    <t>DT</t>
  </si>
  <si>
    <t>VE territory</t>
  </si>
  <si>
    <t>Equity</t>
  </si>
  <si>
    <t>WC</t>
  </si>
  <si>
    <t>Investments</t>
  </si>
  <si>
    <t>Acquisitions</t>
  </si>
  <si>
    <t>CFFI</t>
  </si>
  <si>
    <t>Buybacks</t>
  </si>
  <si>
    <t>Dividends</t>
  </si>
  <si>
    <t>ESOP</t>
  </si>
  <si>
    <t>CFFF</t>
  </si>
  <si>
    <t>FX</t>
  </si>
  <si>
    <t>CIC</t>
  </si>
  <si>
    <t>Settlement</t>
  </si>
  <si>
    <t>Settlement+Legal</t>
  </si>
  <si>
    <t>Collateral</t>
  </si>
  <si>
    <t>Compensation</t>
  </si>
  <si>
    <t>AL</t>
  </si>
  <si>
    <t>AP</t>
  </si>
  <si>
    <t>AR</t>
  </si>
  <si>
    <t>TTM</t>
  </si>
  <si>
    <t>Service revenue</t>
  </si>
  <si>
    <t>Data processing revenue</t>
  </si>
  <si>
    <t>International transaction revenue</t>
  </si>
  <si>
    <t>Tap to Pay</t>
  </si>
  <si>
    <t>Tokenization</t>
  </si>
  <si>
    <t>Click to Pay</t>
  </si>
  <si>
    <t>New Flows</t>
  </si>
  <si>
    <t>Key Enablers</t>
  </si>
  <si>
    <t>Consumer Payments</t>
  </si>
  <si>
    <t>Core Products:</t>
  </si>
  <si>
    <t>UnionPay - Domestic payment card transactions company in China</t>
  </si>
  <si>
    <t>Alipay</t>
  </si>
  <si>
    <t>WeChat Pay</t>
  </si>
  <si>
    <t>During fiscal year 2024, 303 billion payments and cash transactions with a VISA brand were processed by VISA or other networks,</t>
  </si>
  <si>
    <t>Of the 303 billion total transactions, 234 billion were processed by VISA.</t>
  </si>
  <si>
    <t>equating to an average of 829 million transactions per day.</t>
  </si>
  <si>
    <t>150 million merchant locations worldwide, number includes an estimated 42 million locations through payment facilitators</t>
  </si>
  <si>
    <t>VISA TPV</t>
  </si>
  <si>
    <t>American Express TPV</t>
  </si>
  <si>
    <t>Diners Club/Discover TPV</t>
  </si>
  <si>
    <t>JCB TPV</t>
  </si>
  <si>
    <t>Mastercard TPV</t>
  </si>
  <si>
    <t>PayPal TPV</t>
  </si>
  <si>
    <t>TTM NI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</si>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</sst>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0.0%"/>
    <numFmt numFmtId="166" formatCode="d/mm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 indent="1"/>
    </xf>
    <xf numFmtId="16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2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15</xdr:col>
      <xdr:colOff>19050</xdr:colOff>
      <xdr:row>116</xdr:row>
      <xdr:rowOff>57150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A6EE95E-1EFB-4E76-8A92-B1E227CE6F9A}"/>
            </a:ext>
          </a:extLst>
        </xdr:cNvPr>
        <xdr:cNvCxnSpPr/>
      </xdr:nvCxnSpPr>
      <xdr:spPr>
        <a:xfrm>
          <a:off x="9553575" y="0"/>
          <a:ext cx="0" cy="18678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28575</xdr:rowOff>
    </xdr:from>
    <xdr:to>
      <xdr:col>24</xdr:col>
      <xdr:colOff>19050</xdr:colOff>
      <xdr:row>117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8DDA93-A1A7-491F-8877-9584A7019CBF}"/>
            </a:ext>
          </a:extLst>
        </xdr:cNvPr>
        <xdr:cNvCxnSpPr/>
      </xdr:nvCxnSpPr>
      <xdr:spPr>
        <a:xfrm>
          <a:off x="15039975" y="28575"/>
          <a:ext cx="0" cy="18830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8431-A84A-43B0-A20A-F72500F75F62}">
  <dimension ref="B2:M25"/>
  <sheetViews>
    <sheetView tabSelected="1" workbookViewId="0">
      <selection activeCell="B26" sqref="B26"/>
    </sheetView>
  </sheetViews>
  <sheetFormatPr defaultRowHeight="12.75" x14ac:dyDescent="0.2"/>
  <cols>
    <col min="1" max="1" width="3.42578125" customWidth="1"/>
  </cols>
  <sheetData>
    <row r="2" spans="2:13" x14ac:dyDescent="0.2">
      <c r="B2" t="s">
        <v>114</v>
      </c>
      <c r="K2" s="1" t="s">
        <v>0</v>
      </c>
      <c r="L2" s="1"/>
    </row>
    <row r="3" spans="2:13" x14ac:dyDescent="0.2">
      <c r="B3" t="s">
        <v>115</v>
      </c>
      <c r="K3" t="s">
        <v>1</v>
      </c>
      <c r="L3">
        <v>335</v>
      </c>
    </row>
    <row r="4" spans="2:13" x14ac:dyDescent="0.2">
      <c r="B4" t="s">
        <v>116</v>
      </c>
      <c r="K4" t="s">
        <v>2</v>
      </c>
      <c r="L4" s="2">
        <f>1723.362347+9.24064</f>
        <v>1732.602987</v>
      </c>
      <c r="M4" t="s">
        <v>43</v>
      </c>
    </row>
    <row r="5" spans="2:13" x14ac:dyDescent="0.2">
      <c r="K5" t="s">
        <v>3</v>
      </c>
      <c r="L5" s="2">
        <f>+L3*L4</f>
        <v>580422.00064500002</v>
      </c>
    </row>
    <row r="6" spans="2:13" x14ac:dyDescent="0.2">
      <c r="B6" s="1" t="s">
        <v>122</v>
      </c>
      <c r="K6" t="s">
        <v>4</v>
      </c>
      <c r="L6" s="2">
        <v>19203</v>
      </c>
      <c r="M6" t="s">
        <v>43</v>
      </c>
    </row>
    <row r="7" spans="2:13" x14ac:dyDescent="0.2">
      <c r="B7" s="13" t="s">
        <v>123</v>
      </c>
      <c r="K7" t="s">
        <v>5</v>
      </c>
      <c r="L7" s="2">
        <f>3929+16680</f>
        <v>20609</v>
      </c>
      <c r="M7" t="s">
        <v>43</v>
      </c>
    </row>
    <row r="8" spans="2:13" x14ac:dyDescent="0.2">
      <c r="B8" s="14" t="s">
        <v>74</v>
      </c>
      <c r="K8" t="s">
        <v>6</v>
      </c>
      <c r="L8" s="2">
        <f>+L5-L6+L7</f>
        <v>581828.00064500002</v>
      </c>
    </row>
    <row r="9" spans="2:13" x14ac:dyDescent="0.2">
      <c r="B9" s="14" t="s">
        <v>75</v>
      </c>
      <c r="L9" s="2">
        <v>20397</v>
      </c>
    </row>
    <row r="10" spans="2:13" x14ac:dyDescent="0.2">
      <c r="B10" s="14" t="s">
        <v>15</v>
      </c>
      <c r="L10" s="3">
        <f>+L8/L9</f>
        <v>28.525175302495466</v>
      </c>
    </row>
    <row r="11" spans="2:13" x14ac:dyDescent="0.2">
      <c r="B11" s="15" t="s">
        <v>121</v>
      </c>
    </row>
    <row r="12" spans="2:13" x14ac:dyDescent="0.2">
      <c r="B12" s="14" t="s">
        <v>117</v>
      </c>
    </row>
    <row r="13" spans="2:13" x14ac:dyDescent="0.2">
      <c r="B13" s="14" t="s">
        <v>118</v>
      </c>
    </row>
    <row r="14" spans="2:13" x14ac:dyDescent="0.2">
      <c r="B14" s="14" t="s">
        <v>119</v>
      </c>
    </row>
    <row r="15" spans="2:13" x14ac:dyDescent="0.2">
      <c r="B15" s="13" t="s">
        <v>120</v>
      </c>
    </row>
    <row r="17" spans="2:2" x14ac:dyDescent="0.2">
      <c r="B17" t="s">
        <v>124</v>
      </c>
    </row>
    <row r="18" spans="2:2" x14ac:dyDescent="0.2">
      <c r="B18" t="s">
        <v>125</v>
      </c>
    </row>
    <row r="19" spans="2:2" x14ac:dyDescent="0.2">
      <c r="B19" t="s">
        <v>126</v>
      </c>
    </row>
    <row r="21" spans="2:2" x14ac:dyDescent="0.2">
      <c r="B21" t="s">
        <v>127</v>
      </c>
    </row>
    <row r="22" spans="2:2" x14ac:dyDescent="0.2">
      <c r="B22" t="s">
        <v>129</v>
      </c>
    </row>
    <row r="23" spans="2:2" x14ac:dyDescent="0.2">
      <c r="B23" t="s">
        <v>128</v>
      </c>
    </row>
    <row r="25" spans="2:2" x14ac:dyDescent="0.2">
      <c r="B25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5E95-EF9A-4AC5-BAAE-5351D0FD990D}">
  <dimension ref="B1:EK111"/>
  <sheetViews>
    <sheetView workbookViewId="0">
      <pane xSplit="2" ySplit="2" topLeftCell="H45" activePane="bottomRight" state="frozen"/>
      <selection pane="topRight" activeCell="C1" sqref="C1"/>
      <selection pane="bottomLeft" activeCell="A3" sqref="A3"/>
      <selection pane="bottomRight" activeCell="O82" sqref="O82"/>
    </sheetView>
  </sheetViews>
  <sheetFormatPr defaultRowHeight="12.75" x14ac:dyDescent="0.2"/>
  <cols>
    <col min="1" max="1" width="3" customWidth="1"/>
    <col min="2" max="2" width="21.7109375" bestFit="1" customWidth="1"/>
    <col min="3" max="6" width="9.140625" customWidth="1"/>
    <col min="15" max="15" width="10.140625" bestFit="1" customWidth="1"/>
  </cols>
  <sheetData>
    <row r="1" spans="2:34" s="12" customFormat="1" x14ac:dyDescent="0.2">
      <c r="C1" s="12">
        <v>44926</v>
      </c>
      <c r="D1" s="12">
        <v>44651</v>
      </c>
      <c r="E1" s="12">
        <v>44742</v>
      </c>
      <c r="F1" s="12">
        <v>44834</v>
      </c>
      <c r="G1" s="12">
        <v>45291</v>
      </c>
      <c r="H1" s="12">
        <v>45016</v>
      </c>
      <c r="I1" s="12">
        <v>45107</v>
      </c>
      <c r="J1" s="12">
        <v>45199</v>
      </c>
      <c r="K1" s="12">
        <v>45291</v>
      </c>
      <c r="L1" s="12">
        <v>45382</v>
      </c>
      <c r="M1" s="12">
        <v>45473</v>
      </c>
      <c r="N1" s="12">
        <v>45565</v>
      </c>
      <c r="O1" s="12">
        <v>45657</v>
      </c>
      <c r="W1" s="12">
        <v>45199</v>
      </c>
      <c r="X1" s="12">
        <v>45565</v>
      </c>
    </row>
    <row r="2" spans="2:34" s="9" customFormat="1" x14ac:dyDescent="0.2">
      <c r="C2" s="9" t="s">
        <v>55</v>
      </c>
      <c r="D2" s="9" t="s">
        <v>54</v>
      </c>
      <c r="E2" s="9" t="s">
        <v>53</v>
      </c>
      <c r="F2" s="9" t="s">
        <v>52</v>
      </c>
      <c r="G2" s="9" t="s">
        <v>51</v>
      </c>
      <c r="H2" s="9" t="s">
        <v>50</v>
      </c>
      <c r="I2" s="9" t="s">
        <v>49</v>
      </c>
      <c r="J2" s="9" t="s">
        <v>48</v>
      </c>
      <c r="K2" s="9" t="s">
        <v>47</v>
      </c>
      <c r="L2" s="9" t="s">
        <v>46</v>
      </c>
      <c r="M2" s="9" t="s">
        <v>45</v>
      </c>
      <c r="N2" s="9" t="s">
        <v>44</v>
      </c>
      <c r="O2" s="9" t="s">
        <v>43</v>
      </c>
      <c r="S2" s="9" t="s">
        <v>56</v>
      </c>
      <c r="T2" s="9" t="s">
        <v>57</v>
      </c>
      <c r="U2" s="9" t="s">
        <v>58</v>
      </c>
      <c r="V2" s="9" t="s">
        <v>59</v>
      </c>
      <c r="W2" s="9" t="s">
        <v>60</v>
      </c>
      <c r="X2" s="9" t="s">
        <v>61</v>
      </c>
      <c r="Y2" s="9" t="s">
        <v>62</v>
      </c>
      <c r="Z2" s="9" t="s">
        <v>63</v>
      </c>
      <c r="AA2" s="9" t="s">
        <v>64</v>
      </c>
      <c r="AB2" s="9" t="s">
        <v>65</v>
      </c>
      <c r="AC2" s="9" t="s">
        <v>66</v>
      </c>
      <c r="AD2" s="9" t="s">
        <v>67</v>
      </c>
      <c r="AE2" s="9" t="s">
        <v>68</v>
      </c>
      <c r="AF2" s="9" t="s">
        <v>69</v>
      </c>
      <c r="AG2" s="9" t="s">
        <v>70</v>
      </c>
      <c r="AH2" s="9" t="s">
        <v>71</v>
      </c>
    </row>
    <row r="3" spans="2:34" s="10" customFormat="1" x14ac:dyDescent="0.2">
      <c r="B3" s="16" t="s">
        <v>131</v>
      </c>
      <c r="W3" s="10">
        <f>+W17</f>
        <v>12358</v>
      </c>
      <c r="X3" s="10">
        <f>+X17</f>
        <v>13191</v>
      </c>
    </row>
    <row r="4" spans="2:34" s="10" customFormat="1" x14ac:dyDescent="0.2">
      <c r="B4" s="16" t="s">
        <v>135</v>
      </c>
      <c r="W4" s="10">
        <v>7346</v>
      </c>
      <c r="X4" s="10">
        <v>8018</v>
      </c>
    </row>
    <row r="5" spans="2:34" s="10" customFormat="1" x14ac:dyDescent="0.2">
      <c r="B5" s="16" t="s">
        <v>132</v>
      </c>
      <c r="W5" s="10">
        <v>1665</v>
      </c>
    </row>
    <row r="6" spans="2:34" s="10" customFormat="1" x14ac:dyDescent="0.2">
      <c r="B6" s="16" t="s">
        <v>136</v>
      </c>
      <c r="W6" s="10">
        <v>1500</v>
      </c>
    </row>
    <row r="7" spans="2:34" s="10" customFormat="1" x14ac:dyDescent="0.2">
      <c r="B7" s="16" t="s">
        <v>134</v>
      </c>
      <c r="W7" s="10">
        <v>321</v>
      </c>
    </row>
    <row r="8" spans="2:34" s="10" customFormat="1" x14ac:dyDescent="0.2">
      <c r="B8" s="16" t="s">
        <v>133</v>
      </c>
      <c r="W8" s="10">
        <v>256</v>
      </c>
    </row>
    <row r="9" spans="2:34" s="18" customFormat="1" x14ac:dyDescent="0.2">
      <c r="B9" s="17" t="s">
        <v>89</v>
      </c>
      <c r="W9" s="18">
        <f>+SUM(W3:W8)</f>
        <v>23446</v>
      </c>
    </row>
    <row r="10" spans="2:34" s="9" customFormat="1" x14ac:dyDescent="0.2"/>
    <row r="11" spans="2:34" s="2" customFormat="1" x14ac:dyDescent="0.2">
      <c r="B11" s="2" t="s">
        <v>83</v>
      </c>
      <c r="G11" s="10"/>
      <c r="H11" s="10"/>
      <c r="I11" s="10"/>
      <c r="J11" s="10"/>
      <c r="K11" s="10">
        <v>525</v>
      </c>
      <c r="L11" s="10">
        <v>500</v>
      </c>
      <c r="M11" s="10">
        <v>491</v>
      </c>
      <c r="N11" s="10">
        <v>507</v>
      </c>
      <c r="O11" s="10">
        <v>524</v>
      </c>
      <c r="W11" s="2">
        <v>2042</v>
      </c>
      <c r="X11" s="2">
        <f t="shared" ref="X11:X16" si="0">+SUM(K11:N11)</f>
        <v>2023</v>
      </c>
    </row>
    <row r="12" spans="2:34" s="2" customFormat="1" x14ac:dyDescent="0.2">
      <c r="B12" s="2" t="s">
        <v>84</v>
      </c>
      <c r="G12" s="10"/>
      <c r="H12" s="10"/>
      <c r="I12" s="10"/>
      <c r="J12" s="10"/>
      <c r="K12" s="10">
        <v>103</v>
      </c>
      <c r="L12" s="10">
        <v>95</v>
      </c>
      <c r="M12" s="10">
        <v>106</v>
      </c>
      <c r="N12" s="10">
        <v>105</v>
      </c>
      <c r="O12" s="10">
        <v>111</v>
      </c>
      <c r="W12" s="2">
        <v>389</v>
      </c>
      <c r="X12" s="2">
        <f t="shared" si="0"/>
        <v>409</v>
      </c>
    </row>
    <row r="13" spans="2:34" s="2" customFormat="1" x14ac:dyDescent="0.2">
      <c r="B13" s="2" t="s">
        <v>85</v>
      </c>
      <c r="G13" s="10"/>
      <c r="H13" s="10"/>
      <c r="I13" s="10"/>
      <c r="J13" s="10"/>
      <c r="K13" s="10">
        <v>184</v>
      </c>
      <c r="L13" s="10">
        <v>183</v>
      </c>
      <c r="M13" s="10">
        <v>190</v>
      </c>
      <c r="N13" s="10">
        <v>202</v>
      </c>
      <c r="O13" s="10">
        <v>211</v>
      </c>
      <c r="W13" s="2">
        <v>658</v>
      </c>
      <c r="X13" s="2">
        <f t="shared" si="0"/>
        <v>759</v>
      </c>
    </row>
    <row r="14" spans="2:34" s="2" customFormat="1" x14ac:dyDescent="0.2">
      <c r="B14" s="2" t="s">
        <v>86</v>
      </c>
      <c r="G14" s="10"/>
      <c r="H14" s="10"/>
      <c r="I14" s="10"/>
      <c r="J14" s="10"/>
      <c r="K14" s="10">
        <v>230</v>
      </c>
      <c r="L14" s="10">
        <v>213</v>
      </c>
      <c r="M14" s="10">
        <v>222</v>
      </c>
      <c r="N14" s="10">
        <v>230</v>
      </c>
      <c r="O14" s="10">
        <v>242</v>
      </c>
      <c r="W14" s="2">
        <v>803</v>
      </c>
      <c r="X14" s="2">
        <f t="shared" si="0"/>
        <v>895</v>
      </c>
    </row>
    <row r="15" spans="2:34" s="2" customFormat="1" x14ac:dyDescent="0.2">
      <c r="B15" s="2" t="s">
        <v>87</v>
      </c>
      <c r="G15" s="10"/>
      <c r="H15" s="10"/>
      <c r="I15" s="10"/>
      <c r="J15" s="10"/>
      <c r="K15" s="10">
        <v>1604</v>
      </c>
      <c r="L15" s="10">
        <v>1561</v>
      </c>
      <c r="M15" s="10">
        <v>1652</v>
      </c>
      <c r="N15" s="10">
        <v>1649</v>
      </c>
      <c r="O15" s="10">
        <v>1720</v>
      </c>
      <c r="W15" s="2">
        <v>6135</v>
      </c>
      <c r="X15" s="2">
        <f t="shared" si="0"/>
        <v>6466</v>
      </c>
    </row>
    <row r="16" spans="2:34" s="2" customFormat="1" x14ac:dyDescent="0.2">
      <c r="B16" s="2" t="s">
        <v>88</v>
      </c>
      <c r="G16" s="10"/>
      <c r="H16" s="10"/>
      <c r="I16" s="10"/>
      <c r="J16" s="10"/>
      <c r="K16" s="10">
        <v>637</v>
      </c>
      <c r="L16" s="10">
        <v>621</v>
      </c>
      <c r="M16" s="10">
        <v>665</v>
      </c>
      <c r="N16" s="10">
        <v>716</v>
      </c>
      <c r="O16" s="10">
        <v>714</v>
      </c>
      <c r="W16" s="2">
        <v>2331</v>
      </c>
      <c r="X16" s="2">
        <f t="shared" si="0"/>
        <v>2639</v>
      </c>
    </row>
    <row r="17" spans="2:24" s="2" customFormat="1" x14ac:dyDescent="0.2">
      <c r="B17" s="2" t="s">
        <v>89</v>
      </c>
      <c r="G17" s="10"/>
      <c r="H17" s="10"/>
      <c r="I17" s="10"/>
      <c r="J17" s="10"/>
      <c r="K17" s="10">
        <f>+SUM(K11:K16)</f>
        <v>3283</v>
      </c>
      <c r="L17" s="10">
        <f>+SUM(L11:L16)</f>
        <v>3173</v>
      </c>
      <c r="M17" s="10">
        <f>+SUM(M11:M16)</f>
        <v>3326</v>
      </c>
      <c r="N17" s="10">
        <f>+SUM(N11:N16)</f>
        <v>3409</v>
      </c>
      <c r="O17" s="10">
        <f>+SUM(O11:O16)</f>
        <v>3522</v>
      </c>
      <c r="W17" s="2">
        <f>+SUM(W11:W16)</f>
        <v>12358</v>
      </c>
      <c r="X17" s="2">
        <f>+SUM(X11:X16)</f>
        <v>13191</v>
      </c>
    </row>
    <row r="18" spans="2:24" s="2" customFormat="1" x14ac:dyDescent="0.2">
      <c r="B18" s="11" t="s">
        <v>74</v>
      </c>
      <c r="G18" s="10"/>
      <c r="H18" s="10"/>
      <c r="I18" s="10"/>
      <c r="J18" s="10"/>
      <c r="K18" s="10">
        <v>1646</v>
      </c>
      <c r="L18" s="10">
        <v>1568</v>
      </c>
      <c r="M18" s="10">
        <v>1647</v>
      </c>
      <c r="N18" s="10">
        <v>1681</v>
      </c>
      <c r="O18" s="10">
        <v>1742</v>
      </c>
      <c r="W18" s="2">
        <v>6209</v>
      </c>
      <c r="X18" s="2">
        <f>+SUM(K18:N18)</f>
        <v>6542</v>
      </c>
    </row>
    <row r="19" spans="2:24" s="2" customFormat="1" x14ac:dyDescent="0.2">
      <c r="B19" s="11" t="s">
        <v>75</v>
      </c>
      <c r="G19" s="10"/>
      <c r="H19" s="10"/>
      <c r="I19" s="10"/>
      <c r="J19" s="10"/>
      <c r="K19" s="10">
        <v>1636</v>
      </c>
      <c r="L19" s="10">
        <v>1606</v>
      </c>
      <c r="M19" s="10">
        <v>1680</v>
      </c>
      <c r="N19" s="10">
        <v>1729</v>
      </c>
      <c r="O19" s="10">
        <v>1779</v>
      </c>
      <c r="W19" s="2">
        <v>6149</v>
      </c>
      <c r="X19" s="2">
        <f>+SUM(K19:N19)</f>
        <v>6651</v>
      </c>
    </row>
    <row r="20" spans="2:24" s="2" customFormat="1" x14ac:dyDescent="0.2">
      <c r="G20" s="10"/>
      <c r="H20" s="10"/>
      <c r="I20" s="10"/>
      <c r="J20" s="10"/>
      <c r="K20" s="10"/>
      <c r="L20" s="10"/>
      <c r="M20" s="10"/>
      <c r="N20" s="10"/>
      <c r="O20" s="10"/>
    </row>
    <row r="21" spans="2:24" s="2" customFormat="1" x14ac:dyDescent="0.2">
      <c r="B21" s="2" t="s">
        <v>79</v>
      </c>
      <c r="G21" s="10"/>
      <c r="H21" s="10"/>
      <c r="I21" s="10"/>
      <c r="J21" s="10"/>
      <c r="K21" s="2">
        <v>25578</v>
      </c>
      <c r="L21" s="10">
        <v>24502</v>
      </c>
      <c r="M21" s="10">
        <v>26341</v>
      </c>
      <c r="N21" s="10">
        <v>27378</v>
      </c>
      <c r="O21" s="10">
        <v>28271</v>
      </c>
      <c r="W21" s="2">
        <v>93992</v>
      </c>
      <c r="X21" s="2">
        <f>+SUM(K21:N21)</f>
        <v>103799</v>
      </c>
    </row>
    <row r="22" spans="2:24" s="2" customFormat="1" x14ac:dyDescent="0.2">
      <c r="B22" s="2" t="s">
        <v>80</v>
      </c>
      <c r="G22" s="10"/>
      <c r="H22" s="10"/>
      <c r="I22" s="10"/>
      <c r="J22" s="10"/>
      <c r="K22" s="2">
        <v>44916</v>
      </c>
      <c r="L22" s="10">
        <v>43493</v>
      </c>
      <c r="M22" s="10">
        <v>46407</v>
      </c>
      <c r="N22" s="10">
        <v>47890</v>
      </c>
      <c r="O22" s="10">
        <v>49185</v>
      </c>
      <c r="W22" s="2">
        <v>165766</v>
      </c>
      <c r="X22" s="2">
        <f>+SUM(K22:N22)</f>
        <v>182706</v>
      </c>
    </row>
    <row r="23" spans="2:24" s="2" customFormat="1" x14ac:dyDescent="0.2">
      <c r="B23" s="2" t="s">
        <v>81</v>
      </c>
      <c r="G23" s="10"/>
      <c r="H23" s="10"/>
      <c r="I23" s="10"/>
      <c r="J23" s="10"/>
      <c r="K23" s="10">
        <f t="shared" ref="K23:N23" si="1">+SUM(K21:K22)</f>
        <v>70494</v>
      </c>
      <c r="L23" s="10">
        <f t="shared" si="1"/>
        <v>67995</v>
      </c>
      <c r="M23" s="10">
        <f t="shared" si="1"/>
        <v>72748</v>
      </c>
      <c r="N23" s="10">
        <f t="shared" si="1"/>
        <v>75268</v>
      </c>
      <c r="O23" s="10">
        <f>+SUM(O21:O22)</f>
        <v>77456</v>
      </c>
      <c r="W23" s="2">
        <f>+SUM(W21:W22)</f>
        <v>259758</v>
      </c>
      <c r="X23" s="2">
        <f>+SUM(X21:X22)</f>
        <v>286505</v>
      </c>
    </row>
    <row r="24" spans="2:24" s="2" customFormat="1" x14ac:dyDescent="0.2">
      <c r="G24" s="10"/>
      <c r="H24" s="10"/>
      <c r="I24" s="10"/>
      <c r="J24" s="10"/>
      <c r="K24" s="10"/>
      <c r="L24" s="10"/>
      <c r="M24" s="10"/>
      <c r="N24" s="10"/>
      <c r="O24" s="10"/>
    </row>
    <row r="25" spans="2:24" s="2" customFormat="1" x14ac:dyDescent="0.2">
      <c r="B25" s="2" t="s">
        <v>90</v>
      </c>
      <c r="G25" s="10"/>
      <c r="H25" s="10"/>
      <c r="I25" s="10"/>
      <c r="J25" s="10"/>
      <c r="K25" s="10">
        <v>3986</v>
      </c>
      <c r="L25" s="10">
        <v>4048</v>
      </c>
      <c r="M25" s="10">
        <v>4096</v>
      </c>
      <c r="N25" s="10">
        <v>4170</v>
      </c>
      <c r="O25" s="10"/>
      <c r="W25" s="2">
        <v>3986</v>
      </c>
      <c r="X25" s="2">
        <f>+N25</f>
        <v>4170</v>
      </c>
    </row>
    <row r="26" spans="2:24" s="2" customFormat="1" x14ac:dyDescent="0.2">
      <c r="B26" s="2" t="s">
        <v>91</v>
      </c>
      <c r="G26" s="10"/>
      <c r="H26" s="10"/>
      <c r="I26" s="10"/>
      <c r="J26" s="10"/>
      <c r="K26" s="10">
        <v>4481</v>
      </c>
      <c r="L26" s="10">
        <v>4549</v>
      </c>
      <c r="M26" s="10">
        <v>4608</v>
      </c>
      <c r="N26" s="10">
        <v>4700</v>
      </c>
      <c r="O26" s="10"/>
      <c r="W26" s="2">
        <v>4481</v>
      </c>
      <c r="X26" s="2">
        <f>+N26</f>
        <v>4700</v>
      </c>
    </row>
    <row r="27" spans="2:24" s="2" customFormat="1" x14ac:dyDescent="0.2">
      <c r="G27" s="10"/>
      <c r="H27" s="10"/>
      <c r="I27" s="10"/>
      <c r="J27" s="10"/>
      <c r="K27" s="10"/>
      <c r="L27" s="10"/>
      <c r="M27" s="10"/>
      <c r="N27" s="10"/>
      <c r="O27" s="10"/>
      <c r="W27" s="2">
        <f>+W17*1000/W26</f>
        <v>2757.8665476456149</v>
      </c>
      <c r="X27" s="2">
        <f>+X17*1000/X26</f>
        <v>2806.5957446808511</v>
      </c>
    </row>
    <row r="28" spans="2:24" s="2" customFormat="1" x14ac:dyDescent="0.2">
      <c r="B28" s="2" t="s">
        <v>76</v>
      </c>
      <c r="G28" s="10"/>
      <c r="H28" s="10"/>
      <c r="I28" s="10"/>
      <c r="J28" s="10"/>
      <c r="K28" s="10">
        <v>3915</v>
      </c>
      <c r="L28" s="10">
        <v>4033</v>
      </c>
      <c r="M28" s="10">
        <v>3967</v>
      </c>
      <c r="N28" s="10">
        <v>4199</v>
      </c>
      <c r="O28" s="10">
        <v>4208</v>
      </c>
    </row>
    <row r="29" spans="2:24" s="2" customFormat="1" x14ac:dyDescent="0.2">
      <c r="B29" s="2" t="s">
        <v>77</v>
      </c>
      <c r="G29" s="10"/>
      <c r="H29" s="10"/>
      <c r="I29" s="10"/>
      <c r="J29" s="10"/>
      <c r="K29" s="10">
        <v>4356</v>
      </c>
      <c r="L29" s="10">
        <v>4259</v>
      </c>
      <c r="M29" s="10">
        <v>4489</v>
      </c>
      <c r="N29" s="10">
        <v>4610</v>
      </c>
      <c r="O29" s="10">
        <v>4745</v>
      </c>
    </row>
    <row r="30" spans="2:24" s="2" customFormat="1" x14ac:dyDescent="0.2">
      <c r="B30" s="2" t="s">
        <v>78</v>
      </c>
      <c r="G30" s="10"/>
      <c r="H30" s="10"/>
      <c r="I30" s="10"/>
      <c r="J30" s="10"/>
      <c r="K30" s="10">
        <v>3019</v>
      </c>
      <c r="L30" s="10">
        <v>2984</v>
      </c>
      <c r="M30" s="10">
        <v>3194</v>
      </c>
      <c r="N30" s="10">
        <v>3468</v>
      </c>
      <c r="O30" s="10">
        <v>3442</v>
      </c>
    </row>
    <row r="31" spans="2:24" s="2" customFormat="1" x14ac:dyDescent="0.2">
      <c r="B31" s="2" t="s">
        <v>11</v>
      </c>
      <c r="G31" s="10"/>
      <c r="H31" s="10"/>
      <c r="I31" s="10"/>
      <c r="J31" s="10"/>
      <c r="K31" s="10">
        <v>692</v>
      </c>
      <c r="L31" s="10">
        <v>756</v>
      </c>
      <c r="M31" s="10">
        <v>780</v>
      </c>
      <c r="N31" s="10">
        <v>969</v>
      </c>
      <c r="O31" s="10">
        <v>912</v>
      </c>
    </row>
    <row r="32" spans="2:24" s="2" customFormat="1" x14ac:dyDescent="0.2">
      <c r="B32" s="2" t="s">
        <v>82</v>
      </c>
      <c r="G32" s="10"/>
      <c r="H32" s="10"/>
      <c r="I32" s="10"/>
      <c r="J32" s="10"/>
      <c r="K32" s="10">
        <v>-3348</v>
      </c>
      <c r="L32" s="10">
        <v>-3257</v>
      </c>
      <c r="M32" s="10">
        <v>-3530</v>
      </c>
      <c r="N32" s="10">
        <v>-3629</v>
      </c>
      <c r="O32" s="10">
        <v>-3797</v>
      </c>
    </row>
    <row r="33" spans="2:141" s="2" customFormat="1" x14ac:dyDescent="0.2">
      <c r="G33" s="10"/>
      <c r="H33" s="10"/>
      <c r="I33" s="10"/>
      <c r="J33" s="10"/>
      <c r="K33" s="10"/>
      <c r="L33" s="10"/>
      <c r="M33" s="10"/>
      <c r="N33" s="10"/>
      <c r="O33" s="10"/>
    </row>
    <row r="34" spans="2:141" s="4" customFormat="1" x14ac:dyDescent="0.2">
      <c r="B34" s="4" t="s">
        <v>41</v>
      </c>
      <c r="C34" s="4">
        <v>7059</v>
      </c>
      <c r="D34" s="4">
        <v>7189</v>
      </c>
      <c r="E34" s="4">
        <v>7275</v>
      </c>
      <c r="F34" s="4">
        <v>7787</v>
      </c>
      <c r="G34" s="4">
        <v>7936</v>
      </c>
      <c r="H34" s="4">
        <v>7985</v>
      </c>
      <c r="I34" s="4">
        <v>8123</v>
      </c>
      <c r="J34" s="4">
        <v>8609</v>
      </c>
      <c r="K34" s="4">
        <v>8634</v>
      </c>
      <c r="L34" s="4">
        <v>8775</v>
      </c>
      <c r="M34" s="4">
        <v>8900</v>
      </c>
      <c r="N34" s="4">
        <v>9617</v>
      </c>
      <c r="O34" s="4">
        <v>9510</v>
      </c>
      <c r="Q34" s="7">
        <f t="shared" ref="Q34:Q39" si="2">(X34/S34)^(1/6)-1</f>
        <v>7.7339517209695785E-2</v>
      </c>
      <c r="S34" s="4">
        <v>22977</v>
      </c>
      <c r="T34" s="4">
        <v>21846</v>
      </c>
      <c r="U34" s="4">
        <v>24105</v>
      </c>
      <c r="V34" s="4">
        <v>29310</v>
      </c>
      <c r="W34" s="4">
        <v>32653</v>
      </c>
      <c r="X34" s="4">
        <v>35926</v>
      </c>
      <c r="Y34" s="4">
        <f t="shared" ref="Y34:AA34" si="3">+X34*1.08</f>
        <v>38800.080000000002</v>
      </c>
      <c r="Z34" s="4">
        <f t="shared" si="3"/>
        <v>41904.086400000007</v>
      </c>
      <c r="AA34" s="4">
        <f t="shared" si="3"/>
        <v>45256.413312000012</v>
      </c>
      <c r="AB34" s="4">
        <f>+AA34*1.05</f>
        <v>47519.233977600015</v>
      </c>
      <c r="AC34" s="4">
        <f t="shared" ref="AC34:AE34" si="4">+AB34*1.05</f>
        <v>49895.19567648002</v>
      </c>
      <c r="AD34" s="4">
        <f t="shared" si="4"/>
        <v>52389.955460304023</v>
      </c>
      <c r="AE34" s="4">
        <f t="shared" si="4"/>
        <v>55009.453233319226</v>
      </c>
      <c r="AF34" s="4">
        <f>+AE34*1.03</f>
        <v>56659.736830318805</v>
      </c>
      <c r="AG34" s="4">
        <f t="shared" ref="AG34:AH34" si="5">+AF34*1.03</f>
        <v>58359.528935228373</v>
      </c>
      <c r="AH34" s="4">
        <f t="shared" si="5"/>
        <v>60110.314803285226</v>
      </c>
    </row>
    <row r="35" spans="2:141" s="2" customFormat="1" x14ac:dyDescent="0.2">
      <c r="B35" s="2" t="s">
        <v>40</v>
      </c>
      <c r="C35" s="2">
        <v>1125</v>
      </c>
      <c r="D35" s="2">
        <v>1226</v>
      </c>
      <c r="E35" s="2">
        <v>1283</v>
      </c>
      <c r="F35" s="2">
        <v>1356</v>
      </c>
      <c r="G35" s="2">
        <v>1337</v>
      </c>
      <c r="H35" s="2">
        <v>1515</v>
      </c>
      <c r="I35" s="2">
        <v>1481</v>
      </c>
      <c r="J35" s="2">
        <v>1498</v>
      </c>
      <c r="K35" s="2">
        <v>1479</v>
      </c>
      <c r="L35" s="2">
        <v>1603</v>
      </c>
      <c r="M35" s="2">
        <v>1573</v>
      </c>
      <c r="N35" s="2">
        <v>1609</v>
      </c>
      <c r="O35" s="2">
        <v>1813</v>
      </c>
      <c r="Q35" s="7">
        <f t="shared" si="2"/>
        <v>0.10483672295538171</v>
      </c>
      <c r="S35" s="2">
        <v>3444</v>
      </c>
      <c r="T35" s="2">
        <v>3785</v>
      </c>
      <c r="U35" s="2">
        <v>4240</v>
      </c>
      <c r="V35" s="2">
        <v>4990</v>
      </c>
      <c r="W35" s="2">
        <v>5831</v>
      </c>
      <c r="X35" s="2">
        <v>6264</v>
      </c>
      <c r="Y35" s="2">
        <f t="shared" ref="Y35:AA35" si="6">+X35*1.08</f>
        <v>6765.1200000000008</v>
      </c>
      <c r="Z35" s="2">
        <f t="shared" si="6"/>
        <v>7306.3296000000009</v>
      </c>
      <c r="AA35" s="2">
        <f t="shared" si="6"/>
        <v>7890.8359680000012</v>
      </c>
      <c r="AB35" s="2">
        <f>+AA35*1.05</f>
        <v>8285.3777664000008</v>
      </c>
      <c r="AC35" s="2">
        <f t="shared" ref="AC35:AE35" si="7">+AB35*1.05</f>
        <v>8699.6466547200016</v>
      </c>
      <c r="AD35" s="2">
        <f t="shared" si="7"/>
        <v>9134.6289874560025</v>
      </c>
      <c r="AE35" s="2">
        <f t="shared" si="7"/>
        <v>9591.3604368288034</v>
      </c>
      <c r="AF35" s="2">
        <f>+AE35*1.03</f>
        <v>9879.1012499336684</v>
      </c>
      <c r="AG35" s="2">
        <f t="shared" ref="AG35:AH35" si="8">+AF35*1.03</f>
        <v>10175.474287431678</v>
      </c>
      <c r="AH35" s="2">
        <f t="shared" si="8"/>
        <v>10480.738516054629</v>
      </c>
    </row>
    <row r="36" spans="2:141" s="2" customFormat="1" x14ac:dyDescent="0.2">
      <c r="B36" s="2" t="s">
        <v>39</v>
      </c>
      <c r="C36" s="2">
        <v>280</v>
      </c>
      <c r="D36" s="2">
        <v>314</v>
      </c>
      <c r="E36" s="2">
        <v>313</v>
      </c>
      <c r="F36" s="2">
        <v>429</v>
      </c>
      <c r="G36" s="2">
        <v>332</v>
      </c>
      <c r="H36" s="2">
        <v>309</v>
      </c>
      <c r="I36" s="2">
        <v>297</v>
      </c>
      <c r="J36" s="2">
        <v>403</v>
      </c>
      <c r="K36" s="2">
        <v>293</v>
      </c>
      <c r="L36" s="2">
        <v>338</v>
      </c>
      <c r="M36" s="2">
        <v>378</v>
      </c>
      <c r="N36" s="2">
        <v>551</v>
      </c>
      <c r="O36" s="2">
        <v>306</v>
      </c>
      <c r="Q36" s="7">
        <f t="shared" si="2"/>
        <v>5.9157111933997752E-2</v>
      </c>
      <c r="S36" s="2">
        <v>1105</v>
      </c>
      <c r="T36" s="2">
        <v>971</v>
      </c>
      <c r="U36" s="2">
        <v>1136</v>
      </c>
      <c r="V36" s="2">
        <v>1336</v>
      </c>
      <c r="W36" s="2">
        <v>1341</v>
      </c>
      <c r="X36" s="2">
        <v>1560</v>
      </c>
      <c r="Y36" s="2">
        <f t="shared" ref="Y36:AA36" si="9">+X36*1.05</f>
        <v>1638</v>
      </c>
      <c r="Z36" s="2">
        <f t="shared" si="9"/>
        <v>1719.9</v>
      </c>
      <c r="AA36" s="2">
        <f t="shared" si="9"/>
        <v>1805.8950000000002</v>
      </c>
      <c r="AB36" s="2">
        <f>+AA36*1.03</f>
        <v>1860.0718500000003</v>
      </c>
      <c r="AC36" s="2">
        <f t="shared" ref="AC36:AE36" si="10">+AB36*1.03</f>
        <v>1915.8740055000003</v>
      </c>
      <c r="AD36" s="2">
        <f t="shared" si="10"/>
        <v>1973.3502256650004</v>
      </c>
      <c r="AE36" s="2">
        <f t="shared" si="10"/>
        <v>2032.5507324349505</v>
      </c>
      <c r="AF36" s="2">
        <f>+AE36*1.01</f>
        <v>2052.8762397593</v>
      </c>
      <c r="AG36" s="2">
        <f t="shared" ref="AG36:AH36" si="11">+AF36*1.01</f>
        <v>2073.4050021568928</v>
      </c>
      <c r="AH36" s="2">
        <f t="shared" si="11"/>
        <v>2094.139052178462</v>
      </c>
    </row>
    <row r="37" spans="2:141" s="2" customFormat="1" x14ac:dyDescent="0.2">
      <c r="B37" s="2" t="s">
        <v>38</v>
      </c>
      <c r="C37" s="2">
        <v>190</v>
      </c>
      <c r="D37" s="2">
        <v>190</v>
      </c>
      <c r="E37" s="2">
        <v>178</v>
      </c>
      <c r="F37" s="2">
        <v>185</v>
      </c>
      <c r="G37" s="2">
        <v>189</v>
      </c>
      <c r="H37" s="2">
        <v>179</v>
      </c>
      <c r="I37" s="2">
        <v>182</v>
      </c>
      <c r="J37" s="2">
        <v>197</v>
      </c>
      <c r="K37" s="2">
        <v>181</v>
      </c>
      <c r="L37" s="2">
        <v>189</v>
      </c>
      <c r="M37" s="2">
        <v>200</v>
      </c>
      <c r="N37" s="2">
        <v>208</v>
      </c>
      <c r="O37" s="2">
        <v>207</v>
      </c>
      <c r="Q37" s="7">
        <f t="shared" si="2"/>
        <v>1.2761978926702833E-2</v>
      </c>
      <c r="S37" s="2">
        <v>721</v>
      </c>
      <c r="T37" s="2">
        <v>727</v>
      </c>
      <c r="U37" s="2">
        <v>730</v>
      </c>
      <c r="V37" s="2">
        <v>743</v>
      </c>
      <c r="W37" s="2">
        <v>736</v>
      </c>
      <c r="X37" s="2">
        <v>778</v>
      </c>
      <c r="Y37" s="2">
        <f t="shared" ref="Y37:AE37" si="12">+X37*1.01</f>
        <v>785.78</v>
      </c>
      <c r="Z37" s="2">
        <f t="shared" si="12"/>
        <v>793.63779999999997</v>
      </c>
      <c r="AA37" s="2">
        <f t="shared" si="12"/>
        <v>801.57417799999996</v>
      </c>
      <c r="AB37" s="2">
        <f t="shared" si="12"/>
        <v>809.58991977999995</v>
      </c>
      <c r="AC37" s="2">
        <f t="shared" si="12"/>
        <v>817.68581897779995</v>
      </c>
      <c r="AD37" s="2">
        <f t="shared" si="12"/>
        <v>825.862677167578</v>
      </c>
      <c r="AE37" s="2">
        <f t="shared" si="12"/>
        <v>834.12130393925383</v>
      </c>
      <c r="AF37" s="2">
        <f>+AE37*1.005</f>
        <v>838.29191045895004</v>
      </c>
      <c r="AG37" s="2">
        <f t="shared" ref="AG37:AH37" si="13">+AF37*1.005</f>
        <v>842.48337001124469</v>
      </c>
      <c r="AH37" s="2">
        <f t="shared" si="13"/>
        <v>846.6957868613008</v>
      </c>
    </row>
    <row r="38" spans="2:141" s="2" customFormat="1" x14ac:dyDescent="0.2">
      <c r="B38" s="2" t="s">
        <v>37</v>
      </c>
      <c r="C38" s="2">
        <v>100</v>
      </c>
      <c r="D38" s="2">
        <v>125</v>
      </c>
      <c r="E38" s="2">
        <v>117</v>
      </c>
      <c r="F38" s="2">
        <v>163</v>
      </c>
      <c r="G38" s="2">
        <v>109</v>
      </c>
      <c r="H38" s="2">
        <v>130</v>
      </c>
      <c r="I38" s="2">
        <v>133</v>
      </c>
      <c r="J38" s="2">
        <v>173</v>
      </c>
      <c r="K38" s="2">
        <v>131</v>
      </c>
      <c r="L38" s="2">
        <v>160</v>
      </c>
      <c r="M38" s="2">
        <v>152</v>
      </c>
      <c r="N38" s="2">
        <v>192</v>
      </c>
      <c r="O38" s="2">
        <v>143</v>
      </c>
      <c r="Q38" s="7">
        <f t="shared" si="2"/>
        <v>5.7514454224082856E-2</v>
      </c>
      <c r="S38" s="2">
        <v>454</v>
      </c>
      <c r="T38" s="2">
        <v>408</v>
      </c>
      <c r="U38" s="2">
        <v>403</v>
      </c>
      <c r="V38" s="2">
        <v>505</v>
      </c>
      <c r="W38" s="2">
        <v>545</v>
      </c>
      <c r="X38" s="2">
        <v>635</v>
      </c>
      <c r="Y38" s="2">
        <f t="shared" ref="Y38:AA38" si="14">+X38*1.06</f>
        <v>673.1</v>
      </c>
      <c r="Z38" s="2">
        <f t="shared" si="14"/>
        <v>713.4860000000001</v>
      </c>
      <c r="AA38" s="2">
        <f t="shared" si="14"/>
        <v>756.29516000000012</v>
      </c>
      <c r="AB38" s="2">
        <f>+AA38*1.04</f>
        <v>786.5469664000002</v>
      </c>
      <c r="AC38" s="2">
        <f t="shared" ref="AC38:AE38" si="15">+AB38*1.04</f>
        <v>818.00884505600027</v>
      </c>
      <c r="AD38" s="2">
        <f t="shared" si="15"/>
        <v>850.72919885824035</v>
      </c>
      <c r="AE38" s="2">
        <f t="shared" si="15"/>
        <v>884.75836681256999</v>
      </c>
      <c r="AF38" s="2">
        <f>+AE38*1.02</f>
        <v>902.4535341488214</v>
      </c>
      <c r="AG38" s="2">
        <f t="shared" ref="AG38:AH38" si="16">+AF38*1.02</f>
        <v>920.50260483179784</v>
      </c>
      <c r="AH38" s="2">
        <f t="shared" si="16"/>
        <v>938.91265692843376</v>
      </c>
    </row>
    <row r="39" spans="2:141" s="2" customFormat="1" x14ac:dyDescent="0.2">
      <c r="B39" s="2" t="s">
        <v>35</v>
      </c>
      <c r="C39" s="2">
        <v>242</v>
      </c>
      <c r="D39" s="2">
        <v>325</v>
      </c>
      <c r="E39" s="2">
        <v>289</v>
      </c>
      <c r="F39" s="2">
        <v>338</v>
      </c>
      <c r="G39" s="2">
        <v>322</v>
      </c>
      <c r="H39" s="2">
        <v>282</v>
      </c>
      <c r="I39" s="2">
        <v>314</v>
      </c>
      <c r="J39" s="2">
        <v>412</v>
      </c>
      <c r="K39" s="2">
        <v>340</v>
      </c>
      <c r="L39" s="2">
        <v>452</v>
      </c>
      <c r="M39" s="2">
        <v>382</v>
      </c>
      <c r="N39" s="2">
        <v>424</v>
      </c>
      <c r="O39" s="2">
        <v>481</v>
      </c>
      <c r="Q39" s="7">
        <f t="shared" si="2"/>
        <v>4.948023987543948E-2</v>
      </c>
      <c r="S39" s="2">
        <v>1196</v>
      </c>
      <c r="T39" s="2">
        <v>1096</v>
      </c>
      <c r="U39" s="2">
        <v>985</v>
      </c>
      <c r="V39" s="2">
        <v>1194</v>
      </c>
      <c r="W39" s="2">
        <v>1330</v>
      </c>
      <c r="X39" s="2">
        <v>1598</v>
      </c>
      <c r="Y39" s="2">
        <f t="shared" ref="Y39:AA39" si="17">+X39*1.05</f>
        <v>1677.9</v>
      </c>
      <c r="Z39" s="2">
        <f t="shared" si="17"/>
        <v>1761.7950000000001</v>
      </c>
      <c r="AA39" s="2">
        <f t="shared" si="17"/>
        <v>1849.8847500000002</v>
      </c>
      <c r="AB39" s="2">
        <f>+AA39*1.03</f>
        <v>1905.3812925000002</v>
      </c>
      <c r="AC39" s="2">
        <f t="shared" ref="AC39:AE39" si="18">+AB39*1.03</f>
        <v>1962.5427312750003</v>
      </c>
      <c r="AD39" s="2">
        <f t="shared" si="18"/>
        <v>2021.4190132132503</v>
      </c>
      <c r="AE39" s="2">
        <f t="shared" si="18"/>
        <v>2082.0615836096481</v>
      </c>
      <c r="AF39" s="2">
        <f>+AE39*1.02</f>
        <v>2123.7028152818411</v>
      </c>
      <c r="AG39" s="2">
        <f t="shared" ref="AG39:AH39" si="19">+AF39*1.02</f>
        <v>2166.1768715874782</v>
      </c>
      <c r="AH39" s="2">
        <f t="shared" si="19"/>
        <v>2209.5004090192278</v>
      </c>
    </row>
    <row r="40" spans="2:141" s="2" customFormat="1" x14ac:dyDescent="0.2">
      <c r="B40" s="2" t="s">
        <v>34</v>
      </c>
      <c r="C40" s="2">
        <f t="shared" ref="C40:O40" si="20">+SUM(C35:C39)</f>
        <v>1937</v>
      </c>
      <c r="D40" s="2">
        <f t="shared" si="20"/>
        <v>2180</v>
      </c>
      <c r="E40" s="2">
        <f t="shared" si="20"/>
        <v>2180</v>
      </c>
      <c r="F40" s="2">
        <f t="shared" si="20"/>
        <v>2471</v>
      </c>
      <c r="G40" s="2">
        <f t="shared" si="20"/>
        <v>2289</v>
      </c>
      <c r="H40" s="2">
        <f t="shared" si="20"/>
        <v>2415</v>
      </c>
      <c r="I40" s="2">
        <f t="shared" si="20"/>
        <v>2407</v>
      </c>
      <c r="J40" s="2">
        <f t="shared" si="20"/>
        <v>2683</v>
      </c>
      <c r="K40" s="2">
        <f t="shared" si="20"/>
        <v>2424</v>
      </c>
      <c r="L40" s="2">
        <f t="shared" si="20"/>
        <v>2742</v>
      </c>
      <c r="M40" s="2">
        <f t="shared" si="20"/>
        <v>2685</v>
      </c>
      <c r="N40" s="2">
        <f t="shared" si="20"/>
        <v>2984</v>
      </c>
      <c r="O40" s="2">
        <f t="shared" si="20"/>
        <v>2950</v>
      </c>
      <c r="S40" s="2">
        <f t="shared" ref="S40:AH40" si="21">+SUM(S35:S39)</f>
        <v>6920</v>
      </c>
      <c r="T40" s="2">
        <f t="shared" si="21"/>
        <v>6987</v>
      </c>
      <c r="U40" s="2">
        <f t="shared" si="21"/>
        <v>7494</v>
      </c>
      <c r="V40" s="2">
        <f t="shared" si="21"/>
        <v>8768</v>
      </c>
      <c r="W40" s="2">
        <f t="shared" si="21"/>
        <v>9783</v>
      </c>
      <c r="X40" s="2">
        <f t="shared" si="21"/>
        <v>10835</v>
      </c>
      <c r="Y40" s="2">
        <f t="shared" si="21"/>
        <v>11539.900000000001</v>
      </c>
      <c r="Z40" s="2">
        <f t="shared" si="21"/>
        <v>12295.148400000002</v>
      </c>
      <c r="AA40" s="2">
        <f t="shared" si="21"/>
        <v>13104.485056000001</v>
      </c>
      <c r="AB40" s="2">
        <f t="shared" si="21"/>
        <v>13646.967795080001</v>
      </c>
      <c r="AC40" s="2">
        <f t="shared" si="21"/>
        <v>14213.7580555288</v>
      </c>
      <c r="AD40" s="2">
        <f t="shared" si="21"/>
        <v>14805.990102360071</v>
      </c>
      <c r="AE40" s="2">
        <f t="shared" si="21"/>
        <v>15424.852423625225</v>
      </c>
      <c r="AF40" s="2">
        <f t="shared" si="21"/>
        <v>15796.42574958258</v>
      </c>
      <c r="AG40" s="2">
        <f t="shared" si="21"/>
        <v>16178.042136019092</v>
      </c>
      <c r="AH40" s="2">
        <f t="shared" si="21"/>
        <v>16569.986421042053</v>
      </c>
    </row>
    <row r="41" spans="2:141" s="2" customFormat="1" x14ac:dyDescent="0.2">
      <c r="B41" s="2" t="s">
        <v>33</v>
      </c>
      <c r="C41" s="2">
        <f t="shared" ref="C41:O41" si="22">+C34-C40</f>
        <v>5122</v>
      </c>
      <c r="D41" s="2">
        <f t="shared" si="22"/>
        <v>5009</v>
      </c>
      <c r="E41" s="2">
        <f t="shared" si="22"/>
        <v>5095</v>
      </c>
      <c r="F41" s="2">
        <f t="shared" si="22"/>
        <v>5316</v>
      </c>
      <c r="G41" s="2">
        <f t="shared" si="22"/>
        <v>5647</v>
      </c>
      <c r="H41" s="2">
        <f t="shared" si="22"/>
        <v>5570</v>
      </c>
      <c r="I41" s="2">
        <f t="shared" si="22"/>
        <v>5716</v>
      </c>
      <c r="J41" s="2">
        <f t="shared" si="22"/>
        <v>5926</v>
      </c>
      <c r="K41" s="2">
        <f t="shared" si="22"/>
        <v>6210</v>
      </c>
      <c r="L41" s="2">
        <f t="shared" si="22"/>
        <v>6033</v>
      </c>
      <c r="M41" s="2">
        <f t="shared" si="22"/>
        <v>6215</v>
      </c>
      <c r="N41" s="2">
        <f t="shared" si="22"/>
        <v>6633</v>
      </c>
      <c r="O41" s="2">
        <f t="shared" si="22"/>
        <v>6560</v>
      </c>
      <c r="S41" s="2">
        <f t="shared" ref="S41:AH41" si="23">+S34-S40</f>
        <v>16057</v>
      </c>
      <c r="T41" s="2">
        <f t="shared" si="23"/>
        <v>14859</v>
      </c>
      <c r="U41" s="2">
        <f t="shared" si="23"/>
        <v>16611</v>
      </c>
      <c r="V41" s="2">
        <f t="shared" si="23"/>
        <v>20542</v>
      </c>
      <c r="W41" s="2">
        <f t="shared" si="23"/>
        <v>22870</v>
      </c>
      <c r="X41" s="2">
        <f t="shared" si="23"/>
        <v>25091</v>
      </c>
      <c r="Y41" s="2">
        <f t="shared" si="23"/>
        <v>27260.18</v>
      </c>
      <c r="Z41" s="2">
        <f t="shared" si="23"/>
        <v>29608.938000000006</v>
      </c>
      <c r="AA41" s="2">
        <f t="shared" si="23"/>
        <v>32151.92825600001</v>
      </c>
      <c r="AB41" s="2">
        <f t="shared" si="23"/>
        <v>33872.266182520012</v>
      </c>
      <c r="AC41" s="2">
        <f t="shared" si="23"/>
        <v>35681.437620951219</v>
      </c>
      <c r="AD41" s="2">
        <f t="shared" si="23"/>
        <v>37583.965357943955</v>
      </c>
      <c r="AE41" s="2">
        <f t="shared" si="23"/>
        <v>39584.600809693999</v>
      </c>
      <c r="AF41" s="2">
        <f t="shared" si="23"/>
        <v>40863.311080736225</v>
      </c>
      <c r="AG41" s="2">
        <f t="shared" si="23"/>
        <v>42181.486799209277</v>
      </c>
      <c r="AH41" s="2">
        <f t="shared" si="23"/>
        <v>43540.328382243169</v>
      </c>
    </row>
    <row r="42" spans="2:141" s="2" customFormat="1" x14ac:dyDescent="0.2">
      <c r="B42" s="2" t="s">
        <v>32</v>
      </c>
      <c r="C42" s="2">
        <v>-134</v>
      </c>
      <c r="D42" s="2">
        <v>-134</v>
      </c>
      <c r="E42" s="2">
        <v>-111</v>
      </c>
      <c r="F42" s="2">
        <v>-159</v>
      </c>
      <c r="G42" s="2">
        <v>-137</v>
      </c>
      <c r="H42" s="2">
        <v>-142</v>
      </c>
      <c r="I42" s="2">
        <v>-182</v>
      </c>
      <c r="J42" s="2">
        <v>-183</v>
      </c>
      <c r="K42" s="2">
        <v>187</v>
      </c>
      <c r="L42" s="2">
        <v>-196</v>
      </c>
      <c r="M42" s="2">
        <v>-196</v>
      </c>
      <c r="N42" s="2">
        <v>-176</v>
      </c>
      <c r="O42" s="2">
        <v>182</v>
      </c>
      <c r="Q42" s="7">
        <f>(X42/S42)^(1/6)-1</f>
        <v>3.1229045342544559E-2</v>
      </c>
      <c r="S42" s="2">
        <v>-533</v>
      </c>
      <c r="T42" s="2">
        <v>-516</v>
      </c>
      <c r="U42" s="2">
        <v>-513</v>
      </c>
      <c r="V42" s="2">
        <v>-538</v>
      </c>
      <c r="W42" s="2">
        <v>-644</v>
      </c>
      <c r="X42" s="2">
        <v>-641</v>
      </c>
      <c r="Y42" s="2">
        <f>+Y34*(1-0.02)-Y34</f>
        <v>-776.00160000000324</v>
      </c>
      <c r="Z42" s="2">
        <f t="shared" ref="Z42:AG42" si="24">+Z34*(1-0.02)-Z34</f>
        <v>-838.08172799999738</v>
      </c>
      <c r="AA42" s="2">
        <f t="shared" si="24"/>
        <v>-905.12826624000445</v>
      </c>
      <c r="AB42" s="2">
        <f t="shared" si="24"/>
        <v>-950.38467955200031</v>
      </c>
      <c r="AC42" s="2">
        <f t="shared" si="24"/>
        <v>-997.90391352960432</v>
      </c>
      <c r="AD42" s="2">
        <f t="shared" si="24"/>
        <v>-1047.7991092060838</v>
      </c>
      <c r="AE42" s="2">
        <f t="shared" si="24"/>
        <v>-1100.1890646663887</v>
      </c>
      <c r="AF42" s="2">
        <f t="shared" si="24"/>
        <v>-1133.194736606376</v>
      </c>
      <c r="AG42" s="2">
        <f t="shared" si="24"/>
        <v>-1167.1905787045689</v>
      </c>
      <c r="AH42" s="2">
        <f>+AH34*(1-0.02)-AH34</f>
        <v>-1202.2062960657058</v>
      </c>
    </row>
    <row r="43" spans="2:141" s="2" customFormat="1" x14ac:dyDescent="0.2">
      <c r="B43" s="2" t="s">
        <v>16</v>
      </c>
      <c r="C43" s="2">
        <v>255</v>
      </c>
      <c r="D43" s="2">
        <v>-126</v>
      </c>
      <c r="E43" s="2">
        <v>-208</v>
      </c>
      <c r="F43" s="2">
        <v>-60</v>
      </c>
      <c r="G43" s="2">
        <v>24</v>
      </c>
      <c r="H43" s="2">
        <v>84</v>
      </c>
      <c r="I43" s="2">
        <v>304</v>
      </c>
      <c r="J43" s="2">
        <v>269</v>
      </c>
      <c r="K43" s="2">
        <v>275</v>
      </c>
      <c r="L43" s="2">
        <v>247</v>
      </c>
      <c r="M43" s="2">
        <v>247</v>
      </c>
      <c r="N43" s="2">
        <v>199</v>
      </c>
      <c r="O43" s="2">
        <v>148</v>
      </c>
      <c r="Q43" s="7">
        <f>(X43/S43)^(1/6)-1</f>
        <v>0.14995352870172618</v>
      </c>
      <c r="S43" s="2">
        <v>416</v>
      </c>
      <c r="T43" s="2">
        <v>225</v>
      </c>
      <c r="U43" s="2">
        <v>772</v>
      </c>
      <c r="V43" s="2">
        <v>139</v>
      </c>
      <c r="W43" s="2">
        <v>681</v>
      </c>
      <c r="X43" s="2">
        <v>962</v>
      </c>
      <c r="Y43" s="2">
        <f>+X43*1.03</f>
        <v>990.86</v>
      </c>
      <c r="Z43" s="2">
        <f>+Y57*0.05</f>
        <v>1028.701536</v>
      </c>
      <c r="AA43" s="2">
        <f t="shared" ref="AA43:AH43" si="25">+Z57*0.05</f>
        <v>2220.6838483200004</v>
      </c>
      <c r="AB43" s="2">
        <f t="shared" si="25"/>
        <v>3559.3832018432004</v>
      </c>
      <c r="AC43" s="2">
        <f t="shared" si="25"/>
        <v>5018.6337900356493</v>
      </c>
      <c r="AD43" s="2">
        <f t="shared" si="25"/>
        <v>6606.7204899339404</v>
      </c>
      <c r="AE43" s="2">
        <f t="shared" si="25"/>
        <v>8332.435959480812</v>
      </c>
      <c r="AF43" s="2">
        <f t="shared" si="25"/>
        <v>10205.109867661151</v>
      </c>
      <c r="AG43" s="2">
        <f t="shared" si="25"/>
        <v>12202.518916132791</v>
      </c>
      <c r="AH43" s="2">
        <f t="shared" si="25"/>
        <v>14331.191521598292</v>
      </c>
    </row>
    <row r="44" spans="2:141" s="2" customFormat="1" x14ac:dyDescent="0.2">
      <c r="B44" s="2" t="s">
        <v>31</v>
      </c>
      <c r="C44" s="2">
        <f>+C41+C43</f>
        <v>5377</v>
      </c>
      <c r="D44" s="2">
        <f>+D41+D43</f>
        <v>4883</v>
      </c>
      <c r="E44" s="2">
        <f>+E41+E43</f>
        <v>4887</v>
      </c>
      <c r="F44" s="2">
        <f>+F41+F43</f>
        <v>5256</v>
      </c>
      <c r="G44" s="2">
        <f>+G41+G43</f>
        <v>5671</v>
      </c>
      <c r="H44" s="2">
        <f>+SUM(H42:H43)+H41</f>
        <v>5512</v>
      </c>
      <c r="I44" s="2">
        <f>+SUM(I42:I43)+I41</f>
        <v>5838</v>
      </c>
      <c r="J44" s="2">
        <f>+J41+J43</f>
        <v>6195</v>
      </c>
      <c r="K44" s="2">
        <f>+K41+K43</f>
        <v>6485</v>
      </c>
      <c r="L44" s="2">
        <f>+SUM(L42:L43)+L41</f>
        <v>6084</v>
      </c>
      <c r="M44" s="2">
        <f>+SUM(M42:M43)+M41</f>
        <v>6266</v>
      </c>
      <c r="N44" s="2">
        <f>+SUM(N42:N43)+N41</f>
        <v>6656</v>
      </c>
      <c r="O44" s="2">
        <f>+O41+O43</f>
        <v>6708</v>
      </c>
      <c r="S44" s="2">
        <f t="shared" ref="S44:AH44" si="26">+SUM(S42:S43)+S41</f>
        <v>15940</v>
      </c>
      <c r="T44" s="2">
        <f t="shared" si="26"/>
        <v>14568</v>
      </c>
      <c r="U44" s="2">
        <f t="shared" si="26"/>
        <v>16870</v>
      </c>
      <c r="V44" s="2">
        <f t="shared" si="26"/>
        <v>20143</v>
      </c>
      <c r="W44" s="2">
        <f t="shared" si="26"/>
        <v>22907</v>
      </c>
      <c r="X44" s="2">
        <f t="shared" si="26"/>
        <v>25412</v>
      </c>
      <c r="Y44" s="2">
        <f t="shared" si="26"/>
        <v>27475.038399999998</v>
      </c>
      <c r="Z44" s="2">
        <f t="shared" si="26"/>
        <v>29799.557808000009</v>
      </c>
      <c r="AA44" s="2">
        <f t="shared" si="26"/>
        <v>33467.483838080007</v>
      </c>
      <c r="AB44" s="2">
        <f t="shared" si="26"/>
        <v>36481.264704811212</v>
      </c>
      <c r="AC44" s="2">
        <f t="shared" si="26"/>
        <v>39702.167497457267</v>
      </c>
      <c r="AD44" s="2">
        <f t="shared" si="26"/>
        <v>43142.886738671812</v>
      </c>
      <c r="AE44" s="2">
        <f t="shared" si="26"/>
        <v>46816.847704508422</v>
      </c>
      <c r="AF44" s="2">
        <f t="shared" si="26"/>
        <v>49935.226211791</v>
      </c>
      <c r="AG44" s="2">
        <f t="shared" si="26"/>
        <v>53216.815136637495</v>
      </c>
      <c r="AH44" s="2">
        <f t="shared" si="26"/>
        <v>56669.313607775752</v>
      </c>
    </row>
    <row r="45" spans="2:141" s="2" customFormat="1" x14ac:dyDescent="0.2">
      <c r="B45" s="2" t="s">
        <v>30</v>
      </c>
      <c r="C45" s="2">
        <v>938</v>
      </c>
      <c r="D45" s="2">
        <v>895</v>
      </c>
      <c r="E45" s="2">
        <v>418</v>
      </c>
      <c r="F45" s="2">
        <v>928</v>
      </c>
      <c r="G45" s="2">
        <v>798</v>
      </c>
      <c r="H45" s="2">
        <v>1021</v>
      </c>
      <c r="I45" s="2">
        <v>990</v>
      </c>
      <c r="J45" s="2">
        <v>955</v>
      </c>
      <c r="K45" s="2">
        <v>1152</v>
      </c>
      <c r="L45" s="2">
        <v>1117</v>
      </c>
      <c r="M45" s="2">
        <v>1117</v>
      </c>
      <c r="N45" s="2">
        <v>1054</v>
      </c>
      <c r="O45" s="2">
        <v>1081</v>
      </c>
      <c r="S45" s="2">
        <v>2804</v>
      </c>
      <c r="T45" s="2">
        <v>2924</v>
      </c>
      <c r="U45" s="2">
        <v>3752</v>
      </c>
      <c r="V45" s="2">
        <v>3179</v>
      </c>
      <c r="W45" s="2">
        <v>3764</v>
      </c>
      <c r="X45" s="2">
        <v>4173</v>
      </c>
      <c r="Y45" s="2">
        <f t="shared" ref="Y45:AH45" si="27">+Y44*0.2</f>
        <v>5495.0076799999997</v>
      </c>
      <c r="Z45" s="2">
        <f t="shared" si="27"/>
        <v>5959.9115616000017</v>
      </c>
      <c r="AA45" s="2">
        <f t="shared" si="27"/>
        <v>6693.4967676160013</v>
      </c>
      <c r="AB45" s="2">
        <f t="shared" si="27"/>
        <v>7296.252940962243</v>
      </c>
      <c r="AC45" s="2">
        <f t="shared" si="27"/>
        <v>7940.4334994914534</v>
      </c>
      <c r="AD45" s="2">
        <f t="shared" si="27"/>
        <v>8628.5773477343628</v>
      </c>
      <c r="AE45" s="2">
        <f t="shared" si="27"/>
        <v>9363.3695409016855</v>
      </c>
      <c r="AF45" s="2">
        <f t="shared" si="27"/>
        <v>9987.045242358201</v>
      </c>
      <c r="AG45" s="2">
        <f t="shared" si="27"/>
        <v>10643.363027327499</v>
      </c>
      <c r="AH45" s="2">
        <f t="shared" si="27"/>
        <v>11333.862721555151</v>
      </c>
    </row>
    <row r="46" spans="2:141" s="2" customFormat="1" x14ac:dyDescent="0.2">
      <c r="B46" s="2" t="s">
        <v>29</v>
      </c>
      <c r="C46" s="2">
        <f t="shared" ref="C46:O46" si="28">+C44-C45</f>
        <v>4439</v>
      </c>
      <c r="D46" s="2">
        <f t="shared" si="28"/>
        <v>3988</v>
      </c>
      <c r="E46" s="2">
        <f t="shared" si="28"/>
        <v>4469</v>
      </c>
      <c r="F46" s="2">
        <f t="shared" si="28"/>
        <v>4328</v>
      </c>
      <c r="G46" s="2">
        <f t="shared" si="28"/>
        <v>4873</v>
      </c>
      <c r="H46" s="2">
        <f t="shared" si="28"/>
        <v>4491</v>
      </c>
      <c r="I46" s="2">
        <f t="shared" si="28"/>
        <v>4848</v>
      </c>
      <c r="J46" s="2">
        <f t="shared" si="28"/>
        <v>5240</v>
      </c>
      <c r="K46" s="2">
        <f t="shared" si="28"/>
        <v>5333</v>
      </c>
      <c r="L46" s="2">
        <f t="shared" si="28"/>
        <v>4967</v>
      </c>
      <c r="M46" s="2">
        <f t="shared" si="28"/>
        <v>5149</v>
      </c>
      <c r="N46" s="2">
        <f t="shared" si="28"/>
        <v>5602</v>
      </c>
      <c r="O46" s="2">
        <f t="shared" si="28"/>
        <v>5627</v>
      </c>
      <c r="S46" s="2">
        <f t="shared" ref="S46:AG46" si="29">+S44-S45</f>
        <v>13136</v>
      </c>
      <c r="T46" s="2">
        <f t="shared" si="29"/>
        <v>11644</v>
      </c>
      <c r="U46" s="2">
        <f t="shared" si="29"/>
        <v>13118</v>
      </c>
      <c r="V46" s="2">
        <f t="shared" si="29"/>
        <v>16964</v>
      </c>
      <c r="W46" s="2">
        <f t="shared" si="29"/>
        <v>19143</v>
      </c>
      <c r="X46" s="2">
        <f t="shared" si="29"/>
        <v>21239</v>
      </c>
      <c r="Y46" s="2">
        <f t="shared" si="29"/>
        <v>21980.030719999999</v>
      </c>
      <c r="Z46" s="2">
        <f t="shared" si="29"/>
        <v>23839.646246400007</v>
      </c>
      <c r="AA46" s="2">
        <f t="shared" si="29"/>
        <v>26773.987070464005</v>
      </c>
      <c r="AB46" s="2">
        <f t="shared" si="29"/>
        <v>29185.011763848968</v>
      </c>
      <c r="AC46" s="2">
        <f t="shared" si="29"/>
        <v>31761.733997965814</v>
      </c>
      <c r="AD46" s="2">
        <f t="shared" si="29"/>
        <v>34514.309390937451</v>
      </c>
      <c r="AE46" s="2">
        <f t="shared" si="29"/>
        <v>37453.478163606735</v>
      </c>
      <c r="AF46" s="2">
        <f t="shared" si="29"/>
        <v>39948.180969432797</v>
      </c>
      <c r="AG46" s="2">
        <f t="shared" si="29"/>
        <v>42573.452109309997</v>
      </c>
      <c r="AH46" s="2">
        <f>+AH44-AH45</f>
        <v>45335.450886220598</v>
      </c>
      <c r="AI46" s="2">
        <f t="shared" ref="AI46:BN46" si="30">+AH46*(1+$AK$50)</f>
        <v>44882.096377358394</v>
      </c>
      <c r="AJ46" s="2">
        <f t="shared" si="30"/>
        <v>44433.275413584808</v>
      </c>
      <c r="AK46" s="2">
        <f t="shared" si="30"/>
        <v>43988.942659448963</v>
      </c>
      <c r="AL46" s="2">
        <f t="shared" si="30"/>
        <v>43549.053232854472</v>
      </c>
      <c r="AM46" s="2">
        <f t="shared" si="30"/>
        <v>43113.56270052593</v>
      </c>
      <c r="AN46" s="2">
        <f t="shared" si="30"/>
        <v>42682.427073520674</v>
      </c>
      <c r="AO46" s="2">
        <f t="shared" si="30"/>
        <v>42255.60280278547</v>
      </c>
      <c r="AP46" s="2">
        <f t="shared" si="30"/>
        <v>41833.046774757611</v>
      </c>
      <c r="AQ46" s="2">
        <f t="shared" si="30"/>
        <v>41414.716307010036</v>
      </c>
      <c r="AR46" s="2">
        <f t="shared" si="30"/>
        <v>41000.569143939938</v>
      </c>
      <c r="AS46" s="2">
        <f t="shared" si="30"/>
        <v>40590.563452500537</v>
      </c>
      <c r="AT46" s="2">
        <f t="shared" si="30"/>
        <v>40184.657817975531</v>
      </c>
      <c r="AU46" s="2">
        <f t="shared" si="30"/>
        <v>39782.811239795774</v>
      </c>
      <c r="AV46" s="2">
        <f t="shared" si="30"/>
        <v>39384.983127397812</v>
      </c>
      <c r="AW46" s="2">
        <f t="shared" si="30"/>
        <v>38991.133296123837</v>
      </c>
      <c r="AX46" s="2">
        <f t="shared" si="30"/>
        <v>38601.221963162599</v>
      </c>
      <c r="AY46" s="2">
        <f t="shared" si="30"/>
        <v>38215.20974353097</v>
      </c>
      <c r="AZ46" s="2">
        <f t="shared" si="30"/>
        <v>37833.057646095658</v>
      </c>
      <c r="BA46" s="2">
        <f t="shared" si="30"/>
        <v>37454.727069634704</v>
      </c>
      <c r="BB46" s="2">
        <f t="shared" si="30"/>
        <v>37080.179798938356</v>
      </c>
      <c r="BC46" s="2">
        <f t="shared" si="30"/>
        <v>36709.378000948971</v>
      </c>
      <c r="BD46" s="2">
        <f t="shared" si="30"/>
        <v>36342.28422093948</v>
      </c>
      <c r="BE46" s="2">
        <f t="shared" si="30"/>
        <v>35978.861378730086</v>
      </c>
      <c r="BF46" s="2">
        <f t="shared" si="30"/>
        <v>35619.072764942786</v>
      </c>
      <c r="BG46" s="2">
        <f t="shared" si="30"/>
        <v>35262.882037293355</v>
      </c>
      <c r="BH46" s="2">
        <f t="shared" si="30"/>
        <v>34910.253216920421</v>
      </c>
      <c r="BI46" s="2">
        <f t="shared" si="30"/>
        <v>34561.150684751214</v>
      </c>
      <c r="BJ46" s="2">
        <f t="shared" si="30"/>
        <v>34215.539177903702</v>
      </c>
      <c r="BK46" s="2">
        <f t="shared" si="30"/>
        <v>33873.383786124665</v>
      </c>
      <c r="BL46" s="2">
        <f t="shared" si="30"/>
        <v>33534.649948263417</v>
      </c>
      <c r="BM46" s="2">
        <f t="shared" si="30"/>
        <v>33199.303448780782</v>
      </c>
      <c r="BN46" s="2">
        <f t="shared" si="30"/>
        <v>32867.310414292973</v>
      </c>
      <c r="BO46" s="2">
        <f t="shared" ref="BO46:CT46" si="31">+BN46*(1+$AK$50)</f>
        <v>32538.637310150043</v>
      </c>
      <c r="BP46" s="2">
        <f t="shared" si="31"/>
        <v>32213.250937048542</v>
      </c>
      <c r="BQ46" s="2">
        <f t="shared" si="31"/>
        <v>31891.118427678055</v>
      </c>
      <c r="BR46" s="2">
        <f t="shared" si="31"/>
        <v>31572.207243401273</v>
      </c>
      <c r="BS46" s="2">
        <f t="shared" si="31"/>
        <v>31256.485170967262</v>
      </c>
      <c r="BT46" s="2">
        <f t="shared" si="31"/>
        <v>30943.920319257588</v>
      </c>
      <c r="BU46" s="2">
        <f t="shared" si="31"/>
        <v>30634.481116065013</v>
      </c>
      <c r="BV46" s="2">
        <f t="shared" si="31"/>
        <v>30328.136304904361</v>
      </c>
      <c r="BW46" s="2">
        <f t="shared" si="31"/>
        <v>30024.854941855316</v>
      </c>
      <c r="BX46" s="2">
        <f t="shared" si="31"/>
        <v>29724.606392436763</v>
      </c>
      <c r="BY46" s="2">
        <f t="shared" si="31"/>
        <v>29427.360328512394</v>
      </c>
      <c r="BZ46" s="2">
        <f t="shared" si="31"/>
        <v>29133.086725227269</v>
      </c>
      <c r="CA46" s="2">
        <f t="shared" si="31"/>
        <v>28841.755857974997</v>
      </c>
      <c r="CB46" s="2">
        <f t="shared" si="31"/>
        <v>28553.338299395247</v>
      </c>
      <c r="CC46" s="2">
        <f t="shared" si="31"/>
        <v>28267.804916401295</v>
      </c>
      <c r="CD46" s="2">
        <f t="shared" si="31"/>
        <v>27985.126867237283</v>
      </c>
      <c r="CE46" s="2">
        <f t="shared" si="31"/>
        <v>27705.275598564909</v>
      </c>
      <c r="CF46" s="2">
        <f t="shared" si="31"/>
        <v>27428.22284257926</v>
      </c>
      <c r="CG46" s="2">
        <f t="shared" si="31"/>
        <v>27153.940614153467</v>
      </c>
      <c r="CH46" s="2">
        <f t="shared" si="31"/>
        <v>26882.401208011932</v>
      </c>
      <c r="CI46" s="2">
        <f t="shared" si="31"/>
        <v>26613.577195931812</v>
      </c>
      <c r="CJ46" s="2">
        <f t="shared" si="31"/>
        <v>26347.441423972494</v>
      </c>
      <c r="CK46" s="2">
        <f t="shared" si="31"/>
        <v>26083.967009732769</v>
      </c>
      <c r="CL46" s="2">
        <f t="shared" si="31"/>
        <v>25823.127339635441</v>
      </c>
      <c r="CM46" s="2">
        <f t="shared" si="31"/>
        <v>25564.896066239085</v>
      </c>
      <c r="CN46" s="2">
        <f t="shared" si="31"/>
        <v>25309.247105576695</v>
      </c>
      <c r="CO46" s="2">
        <f t="shared" si="31"/>
        <v>25056.154634520928</v>
      </c>
      <c r="CP46" s="2">
        <f t="shared" si="31"/>
        <v>24805.593088175719</v>
      </c>
      <c r="CQ46" s="2">
        <f t="shared" si="31"/>
        <v>24557.537157293962</v>
      </c>
      <c r="CR46" s="2">
        <f t="shared" si="31"/>
        <v>24311.961785721021</v>
      </c>
      <c r="CS46" s="2">
        <f t="shared" si="31"/>
        <v>24068.842167863811</v>
      </c>
      <c r="CT46" s="2">
        <f t="shared" si="31"/>
        <v>23828.153746185173</v>
      </c>
      <c r="CU46" s="2">
        <f t="shared" ref="CU46:DZ46" si="32">+CT46*(1+$AK$50)</f>
        <v>23589.872208723322</v>
      </c>
      <c r="CV46" s="2">
        <f t="shared" si="32"/>
        <v>23353.973486636089</v>
      </c>
      <c r="CW46" s="2">
        <f t="shared" si="32"/>
        <v>23120.433751769728</v>
      </c>
      <c r="CX46" s="2">
        <f t="shared" si="32"/>
        <v>22889.22941425203</v>
      </c>
      <c r="CY46" s="2">
        <f t="shared" si="32"/>
        <v>22660.337120109511</v>
      </c>
      <c r="CZ46" s="2">
        <f t="shared" si="32"/>
        <v>22433.733748908417</v>
      </c>
      <c r="DA46" s="2">
        <f t="shared" si="32"/>
        <v>22209.396411419333</v>
      </c>
      <c r="DB46" s="2">
        <f t="shared" si="32"/>
        <v>21987.302447305141</v>
      </c>
      <c r="DC46" s="2">
        <f t="shared" si="32"/>
        <v>21767.42942283209</v>
      </c>
      <c r="DD46" s="2">
        <f t="shared" si="32"/>
        <v>21549.755128603771</v>
      </c>
      <c r="DE46" s="2">
        <f t="shared" si="32"/>
        <v>21334.257577317734</v>
      </c>
      <c r="DF46" s="2">
        <f t="shared" si="32"/>
        <v>21120.915001544556</v>
      </c>
      <c r="DG46" s="2">
        <f t="shared" si="32"/>
        <v>20909.70585152911</v>
      </c>
      <c r="DH46" s="2">
        <f t="shared" si="32"/>
        <v>20700.60879301382</v>
      </c>
      <c r="DI46" s="2">
        <f t="shared" si="32"/>
        <v>20493.602705083682</v>
      </c>
      <c r="DJ46" s="2">
        <f t="shared" si="32"/>
        <v>20288.666678032845</v>
      </c>
      <c r="DK46" s="2">
        <f t="shared" si="32"/>
        <v>20085.780011252515</v>
      </c>
      <c r="DL46" s="2">
        <f t="shared" si="32"/>
        <v>19884.92221113999</v>
      </c>
      <c r="DM46" s="2">
        <f t="shared" si="32"/>
        <v>19686.072989028591</v>
      </c>
      <c r="DN46" s="2">
        <f t="shared" si="32"/>
        <v>19489.212259138305</v>
      </c>
      <c r="DO46" s="2">
        <f t="shared" si="32"/>
        <v>19294.320136546921</v>
      </c>
      <c r="DP46" s="2">
        <f t="shared" si="32"/>
        <v>19101.376935181452</v>
      </c>
      <c r="DQ46" s="2">
        <f t="shared" si="32"/>
        <v>18910.363165829636</v>
      </c>
      <c r="DR46" s="2">
        <f t="shared" si="32"/>
        <v>18721.259534171339</v>
      </c>
      <c r="DS46" s="2">
        <f t="shared" si="32"/>
        <v>18534.046938829626</v>
      </c>
      <c r="DT46" s="2">
        <f t="shared" si="32"/>
        <v>18348.706469441331</v>
      </c>
      <c r="DU46" s="2">
        <f t="shared" si="32"/>
        <v>18165.219404746917</v>
      </c>
      <c r="DV46" s="2">
        <f t="shared" si="32"/>
        <v>17983.567210699446</v>
      </c>
      <c r="DW46" s="2">
        <f t="shared" si="32"/>
        <v>17803.731538592452</v>
      </c>
      <c r="DX46" s="2">
        <f t="shared" si="32"/>
        <v>17625.694223206527</v>
      </c>
      <c r="DY46" s="2">
        <f t="shared" si="32"/>
        <v>17449.43728097446</v>
      </c>
      <c r="DZ46" s="2">
        <f t="shared" si="32"/>
        <v>17274.942908164714</v>
      </c>
      <c r="EA46" s="2">
        <f t="shared" ref="EA46:EK46" si="33">+DZ46*(1+$AK$50)</f>
        <v>17102.193479083067</v>
      </c>
      <c r="EB46" s="2">
        <f t="shared" si="33"/>
        <v>16931.171544292236</v>
      </c>
      <c r="EC46" s="2">
        <f t="shared" si="33"/>
        <v>16761.859828849312</v>
      </c>
      <c r="ED46" s="2">
        <f t="shared" si="33"/>
        <v>16594.24123056082</v>
      </c>
      <c r="EE46" s="2">
        <f t="shared" si="33"/>
        <v>16428.298818255211</v>
      </c>
      <c r="EF46" s="2">
        <f t="shared" si="33"/>
        <v>16264.015830072658</v>
      </c>
      <c r="EG46" s="2">
        <f t="shared" si="33"/>
        <v>16101.375671771932</v>
      </c>
      <c r="EH46" s="2">
        <f t="shared" si="33"/>
        <v>15940.361915054213</v>
      </c>
      <c r="EI46" s="2">
        <f t="shared" si="33"/>
        <v>15780.958295903671</v>
      </c>
      <c r="EJ46" s="2">
        <f t="shared" si="33"/>
        <v>15623.148712944634</v>
      </c>
      <c r="EK46" s="2">
        <f t="shared" si="33"/>
        <v>15466.917225815188</v>
      </c>
    </row>
    <row r="47" spans="2:141" s="6" customFormat="1" x14ac:dyDescent="0.2">
      <c r="B47" s="6" t="s">
        <v>28</v>
      </c>
      <c r="C47" s="6">
        <f t="shared" ref="C47:O47" si="34">+C46/C48</f>
        <v>2.0560444650301064</v>
      </c>
      <c r="D47" s="6">
        <f t="shared" si="34"/>
        <v>1.861811391223156</v>
      </c>
      <c r="E47" s="6">
        <f t="shared" si="34"/>
        <v>2.0991075622357913</v>
      </c>
      <c r="F47" s="6">
        <f t="shared" si="34"/>
        <v>2.0453686200378072</v>
      </c>
      <c r="G47" s="6">
        <f t="shared" si="34"/>
        <v>2.3182683158896289</v>
      </c>
      <c r="H47" s="6">
        <f t="shared" si="34"/>
        <v>2.1457238413760154</v>
      </c>
      <c r="I47" s="6">
        <f t="shared" si="34"/>
        <v>2.3307692307692309</v>
      </c>
      <c r="J47" s="6">
        <f t="shared" si="34"/>
        <v>2.5375302663438255</v>
      </c>
      <c r="K47" s="6">
        <f t="shared" si="34"/>
        <v>2.6078239608801956</v>
      </c>
      <c r="L47" s="6">
        <f t="shared" si="34"/>
        <v>2.4359980382540463</v>
      </c>
      <c r="M47" s="6">
        <f t="shared" si="34"/>
        <v>2.5377033021192705</v>
      </c>
      <c r="N47" s="6">
        <f t="shared" si="34"/>
        <v>2.7732673267326731</v>
      </c>
      <c r="O47" s="6">
        <f t="shared" si="34"/>
        <v>2.8347607052896726</v>
      </c>
    </row>
    <row r="48" spans="2:141" s="2" customFormat="1" x14ac:dyDescent="0.2">
      <c r="B48" s="2" t="s">
        <v>2</v>
      </c>
      <c r="C48" s="2">
        <v>2159</v>
      </c>
      <c r="D48" s="2">
        <v>2142</v>
      </c>
      <c r="E48" s="2">
        <v>2129</v>
      </c>
      <c r="F48" s="2">
        <v>2116</v>
      </c>
      <c r="G48" s="2">
        <v>2102</v>
      </c>
      <c r="H48" s="2">
        <v>2093</v>
      </c>
      <c r="I48" s="2">
        <v>2080</v>
      </c>
      <c r="J48" s="2">
        <v>2065</v>
      </c>
      <c r="K48" s="2">
        <v>2045</v>
      </c>
      <c r="L48" s="2">
        <v>2039</v>
      </c>
      <c r="M48" s="2">
        <v>2029</v>
      </c>
      <c r="N48" s="2">
        <f>2003+17</f>
        <v>2020</v>
      </c>
      <c r="O48" s="2">
        <v>1985</v>
      </c>
    </row>
    <row r="49" spans="2:40" s="2" customFormat="1" x14ac:dyDescent="0.2">
      <c r="X49" s="19"/>
    </row>
    <row r="50" spans="2:40" s="5" customFormat="1" x14ac:dyDescent="0.2">
      <c r="B50" s="5" t="s">
        <v>27</v>
      </c>
      <c r="S50" s="8">
        <f t="shared" ref="S50:AH50" si="35">+S42/S34</f>
        <v>-2.3197110153631892E-2</v>
      </c>
      <c r="T50" s="8">
        <f t="shared" si="35"/>
        <v>-2.3619884647074981E-2</v>
      </c>
      <c r="U50" s="8">
        <f t="shared" si="35"/>
        <v>-2.1281891723708774E-2</v>
      </c>
      <c r="V50" s="8">
        <f t="shared" si="35"/>
        <v>-1.8355510064824294E-2</v>
      </c>
      <c r="W50" s="8">
        <f t="shared" si="35"/>
        <v>-1.9722536979756837E-2</v>
      </c>
      <c r="X50" s="8">
        <f t="shared" si="35"/>
        <v>-1.7842231253131436E-2</v>
      </c>
      <c r="Y50" s="8">
        <f t="shared" si="35"/>
        <v>-2.0000000000000084E-2</v>
      </c>
      <c r="Z50" s="8">
        <f t="shared" si="35"/>
        <v>-1.9999999999999934E-2</v>
      </c>
      <c r="AA50" s="8">
        <f t="shared" si="35"/>
        <v>-2.0000000000000094E-2</v>
      </c>
      <c r="AB50" s="8">
        <f t="shared" si="35"/>
        <v>-0.02</v>
      </c>
      <c r="AC50" s="8">
        <f t="shared" si="35"/>
        <v>-2.000000000000008E-2</v>
      </c>
      <c r="AD50" s="8">
        <f t="shared" si="35"/>
        <v>-2.0000000000000063E-2</v>
      </c>
      <c r="AE50" s="8">
        <f t="shared" si="35"/>
        <v>-2.0000000000000077E-2</v>
      </c>
      <c r="AF50" s="8">
        <f t="shared" si="35"/>
        <v>-1.9999999999999997E-2</v>
      </c>
      <c r="AG50" s="8">
        <f t="shared" si="35"/>
        <v>-2.0000000000000025E-2</v>
      </c>
      <c r="AH50" s="8">
        <f t="shared" si="35"/>
        <v>-2.0000000000000021E-2</v>
      </c>
      <c r="AI50" s="8"/>
      <c r="AJ50" s="2" t="s">
        <v>22</v>
      </c>
      <c r="AK50" s="5">
        <v>-0.01</v>
      </c>
      <c r="AL50" s="8"/>
      <c r="AM50" s="8"/>
      <c r="AN50" s="8"/>
    </row>
    <row r="51" spans="2:40" s="5" customFormat="1" x14ac:dyDescent="0.2">
      <c r="B51" s="5" t="s">
        <v>26</v>
      </c>
      <c r="C51" s="5">
        <f t="shared" ref="C51:O51" si="36">+C41/C34</f>
        <v>0.72559852670349911</v>
      </c>
      <c r="D51" s="5">
        <f t="shared" si="36"/>
        <v>0.69675893726526639</v>
      </c>
      <c r="E51" s="5">
        <f t="shared" si="36"/>
        <v>0.7003436426116838</v>
      </c>
      <c r="F51" s="5">
        <f t="shared" si="36"/>
        <v>0.68267625529729037</v>
      </c>
      <c r="G51" s="5">
        <f t="shared" si="36"/>
        <v>0.71156754032258063</v>
      </c>
      <c r="H51" s="5">
        <f t="shared" si="36"/>
        <v>0.69755792110206638</v>
      </c>
      <c r="I51" s="5">
        <f t="shared" si="36"/>
        <v>0.70368090606918621</v>
      </c>
      <c r="J51" s="5">
        <f t="shared" si="36"/>
        <v>0.68834940178882564</v>
      </c>
      <c r="K51" s="5">
        <f t="shared" si="36"/>
        <v>0.71924947880472545</v>
      </c>
      <c r="L51" s="5">
        <f t="shared" si="36"/>
        <v>0.6875213675213675</v>
      </c>
      <c r="M51" s="5">
        <f t="shared" si="36"/>
        <v>0.69831460674157309</v>
      </c>
      <c r="N51" s="5">
        <f t="shared" si="36"/>
        <v>0.68971612769054802</v>
      </c>
      <c r="O51" s="5">
        <f t="shared" si="36"/>
        <v>0.68980021030494221</v>
      </c>
      <c r="S51" s="5">
        <f t="shared" ref="S51:AH51" si="37">+S41/S34</f>
        <v>0.69882926404665535</v>
      </c>
      <c r="T51" s="5">
        <f t="shared" si="37"/>
        <v>0.68017028288931614</v>
      </c>
      <c r="U51" s="5">
        <f t="shared" si="37"/>
        <v>0.68911014312383323</v>
      </c>
      <c r="V51" s="5">
        <f t="shared" si="37"/>
        <v>0.70085295121119073</v>
      </c>
      <c r="W51" s="5">
        <f t="shared" si="37"/>
        <v>0.70039506324074363</v>
      </c>
      <c r="X51" s="5">
        <f t="shared" si="37"/>
        <v>0.69840783833435394</v>
      </c>
      <c r="Y51" s="5">
        <f t="shared" si="37"/>
        <v>0.70258051014327805</v>
      </c>
      <c r="Z51" s="5">
        <f t="shared" si="37"/>
        <v>0.70658831974916891</v>
      </c>
      <c r="AA51" s="5">
        <f t="shared" si="37"/>
        <v>0.71043915995602624</v>
      </c>
      <c r="AB51" s="5">
        <f t="shared" si="37"/>
        <v>0.71281170480330103</v>
      </c>
      <c r="AC51" s="5">
        <f t="shared" si="37"/>
        <v>0.71512772196163588</v>
      </c>
      <c r="AD51" s="5">
        <f t="shared" si="37"/>
        <v>0.71738876331783485</v>
      </c>
      <c r="AE51" s="5">
        <f t="shared" si="37"/>
        <v>0.7195963326848267</v>
      </c>
      <c r="AF51" s="5">
        <f t="shared" si="37"/>
        <v>0.72120545146743675</v>
      </c>
      <c r="AG51" s="5">
        <f t="shared" si="37"/>
        <v>0.72278662231878776</v>
      </c>
      <c r="AH51" s="5">
        <f t="shared" si="37"/>
        <v>0.72434038192499284</v>
      </c>
      <c r="AJ51" s="2" t="s">
        <v>20</v>
      </c>
      <c r="AK51" s="5">
        <v>0.08</v>
      </c>
    </row>
    <row r="52" spans="2:40" s="5" customFormat="1" x14ac:dyDescent="0.2">
      <c r="B52" s="5" t="s">
        <v>25</v>
      </c>
      <c r="C52" s="5">
        <f t="shared" ref="C52:O52" si="38">+C46/C34</f>
        <v>0.62884261226802662</v>
      </c>
      <c r="D52" s="5">
        <f t="shared" si="38"/>
        <v>0.55473640283766867</v>
      </c>
      <c r="E52" s="5">
        <f t="shared" si="38"/>
        <v>0.61429553264604808</v>
      </c>
      <c r="F52" s="5">
        <f t="shared" si="38"/>
        <v>0.55579812508026194</v>
      </c>
      <c r="G52" s="5">
        <f t="shared" si="38"/>
        <v>0.61403729838709675</v>
      </c>
      <c r="H52" s="5">
        <f t="shared" si="38"/>
        <v>0.56242955541640571</v>
      </c>
      <c r="I52" s="5">
        <f t="shared" si="38"/>
        <v>0.5968238335590299</v>
      </c>
      <c r="J52" s="5">
        <f t="shared" si="38"/>
        <v>0.60866535021489143</v>
      </c>
      <c r="K52" s="5">
        <f t="shared" si="38"/>
        <v>0.61767431086402591</v>
      </c>
      <c r="L52" s="5">
        <f t="shared" si="38"/>
        <v>0.56603988603988609</v>
      </c>
      <c r="M52" s="5">
        <f t="shared" si="38"/>
        <v>0.57853932584269663</v>
      </c>
      <c r="N52" s="5">
        <f t="shared" si="38"/>
        <v>0.58251013829676612</v>
      </c>
      <c r="O52" s="5">
        <f t="shared" si="38"/>
        <v>0.5916929547844374</v>
      </c>
      <c r="S52" s="5">
        <f t="shared" ref="S52:AH52" si="39">+S46/S34</f>
        <v>0.5717021369195282</v>
      </c>
      <c r="T52" s="5">
        <f t="shared" si="39"/>
        <v>0.53300375354756024</v>
      </c>
      <c r="U52" s="5">
        <f t="shared" si="39"/>
        <v>0.54420244762497405</v>
      </c>
      <c r="V52" s="5">
        <f t="shared" si="39"/>
        <v>0.57877857386557485</v>
      </c>
      <c r="W52" s="5">
        <f t="shared" si="39"/>
        <v>0.58625547422901414</v>
      </c>
      <c r="X52" s="5">
        <f t="shared" si="39"/>
        <v>0.59118744085063746</v>
      </c>
      <c r="Y52" s="5">
        <f t="shared" si="39"/>
        <v>0.56649446908356882</v>
      </c>
      <c r="Z52" s="5">
        <f t="shared" si="39"/>
        <v>0.56890981988811484</v>
      </c>
      <c r="AA52" s="5">
        <f t="shared" si="39"/>
        <v>0.59160647322806559</v>
      </c>
      <c r="AB52" s="5">
        <f t="shared" si="39"/>
        <v>0.61417260593060963</v>
      </c>
      <c r="AC52" s="5">
        <f t="shared" si="39"/>
        <v>0.63656898359330227</v>
      </c>
      <c r="AD52" s="5">
        <f t="shared" si="39"/>
        <v>0.65879631100448277</v>
      </c>
      <c r="AE52" s="5">
        <f t="shared" si="39"/>
        <v>0.68085530690061768</v>
      </c>
      <c r="AF52" s="5">
        <f t="shared" si="39"/>
        <v>0.70505412139606694</v>
      </c>
      <c r="AG52" s="5">
        <f t="shared" si="39"/>
        <v>0.72950301152295272</v>
      </c>
      <c r="AH52" s="5">
        <f t="shared" si="39"/>
        <v>0.75420418333498507</v>
      </c>
      <c r="AJ52" s="2" t="s">
        <v>18</v>
      </c>
      <c r="AK52" s="2">
        <f>+NPV(AK51,Y46:EK46)+Main!L6-Main!L7</f>
        <v>442158.76902751205</v>
      </c>
    </row>
    <row r="53" spans="2:40" s="5" customFormat="1" x14ac:dyDescent="0.2">
      <c r="B53" s="5" t="s">
        <v>24</v>
      </c>
      <c r="C53" s="5">
        <f t="shared" ref="C53:O53" si="40">+C45/C44</f>
        <v>0.17444671750046495</v>
      </c>
      <c r="D53" s="5">
        <f t="shared" si="40"/>
        <v>0.18328896170387057</v>
      </c>
      <c r="E53" s="5">
        <f t="shared" si="40"/>
        <v>8.5533046859013709E-2</v>
      </c>
      <c r="F53" s="5">
        <f t="shared" si="40"/>
        <v>0.17656012176560121</v>
      </c>
      <c r="G53" s="5">
        <f t="shared" si="40"/>
        <v>0.14071592311761594</v>
      </c>
      <c r="H53" s="5">
        <f t="shared" si="40"/>
        <v>0.18523222060957911</v>
      </c>
      <c r="I53" s="5">
        <f t="shared" si="40"/>
        <v>0.16957862281603289</v>
      </c>
      <c r="J53" s="5">
        <f t="shared" si="40"/>
        <v>0.15415657788539144</v>
      </c>
      <c r="K53" s="5">
        <f t="shared" si="40"/>
        <v>0.17764070932922127</v>
      </c>
      <c r="L53" s="5">
        <f t="shared" si="40"/>
        <v>0.18359631821170283</v>
      </c>
      <c r="M53" s="5">
        <f t="shared" si="40"/>
        <v>0.17826364506862433</v>
      </c>
      <c r="N53" s="5">
        <f t="shared" si="40"/>
        <v>0.15835336538461539</v>
      </c>
      <c r="O53" s="5">
        <f t="shared" si="40"/>
        <v>0.16115086463923672</v>
      </c>
      <c r="S53" s="5">
        <f t="shared" ref="S53:AH53" si="41">+S45/S44</f>
        <v>0.17590966122961105</v>
      </c>
      <c r="T53" s="5">
        <f t="shared" si="41"/>
        <v>0.20071389346512905</v>
      </c>
      <c r="U53" s="5">
        <f t="shared" si="41"/>
        <v>0.22240663900414936</v>
      </c>
      <c r="V53" s="5">
        <f t="shared" si="41"/>
        <v>0.15782157573350544</v>
      </c>
      <c r="W53" s="5">
        <f t="shared" si="41"/>
        <v>0.16431658445016806</v>
      </c>
      <c r="X53" s="5">
        <f t="shared" si="41"/>
        <v>0.16421375728002519</v>
      </c>
      <c r="Y53" s="5">
        <f t="shared" si="41"/>
        <v>0.2</v>
      </c>
      <c r="Z53" s="5">
        <f t="shared" si="41"/>
        <v>0.2</v>
      </c>
      <c r="AA53" s="5">
        <f t="shared" si="41"/>
        <v>0.2</v>
      </c>
      <c r="AB53" s="5">
        <f t="shared" si="41"/>
        <v>0.2</v>
      </c>
      <c r="AC53" s="5">
        <f t="shared" si="41"/>
        <v>0.2</v>
      </c>
      <c r="AD53" s="5">
        <f t="shared" si="41"/>
        <v>0.2</v>
      </c>
      <c r="AE53" s="5">
        <f t="shared" si="41"/>
        <v>0.2</v>
      </c>
      <c r="AF53" s="5">
        <f t="shared" si="41"/>
        <v>0.2</v>
      </c>
      <c r="AG53" s="5">
        <f t="shared" si="41"/>
        <v>0.2</v>
      </c>
      <c r="AH53" s="5">
        <f t="shared" si="41"/>
        <v>0.2</v>
      </c>
      <c r="AJ53" s="2" t="s">
        <v>2</v>
      </c>
      <c r="AK53" s="2">
        <f>+AK52/Main!L4</f>
        <v>255.19912660032372</v>
      </c>
    </row>
    <row r="54" spans="2:40" s="5" customFormat="1" x14ac:dyDescent="0.2">
      <c r="AJ54" s="2" t="s">
        <v>42</v>
      </c>
      <c r="AK54" s="5">
        <f>+AK53/Main!L3</f>
        <v>0.7617884376129066</v>
      </c>
    </row>
    <row r="55" spans="2:40" s="7" customFormat="1" x14ac:dyDescent="0.2">
      <c r="B55" s="7" t="s">
        <v>23</v>
      </c>
      <c r="G55" s="7">
        <f t="shared" ref="G55:O55" si="42">+G34/C34-1</f>
        <v>0.12423856070264905</v>
      </c>
      <c r="H55" s="7">
        <f t="shared" si="42"/>
        <v>0.11072471831965514</v>
      </c>
      <c r="I55" s="7">
        <f t="shared" si="42"/>
        <v>0.11656357388316141</v>
      </c>
      <c r="J55" s="7">
        <f t="shared" si="42"/>
        <v>0.1055605496340053</v>
      </c>
      <c r="K55" s="7">
        <f t="shared" si="42"/>
        <v>8.7953629032258007E-2</v>
      </c>
      <c r="L55" s="7">
        <f t="shared" si="42"/>
        <v>9.8935504070131408E-2</v>
      </c>
      <c r="M55" s="7">
        <f t="shared" si="42"/>
        <v>9.5654314908285132E-2</v>
      </c>
      <c r="N55" s="7">
        <f t="shared" si="42"/>
        <v>0.11708676965965847</v>
      </c>
      <c r="O55" s="7">
        <f t="shared" si="42"/>
        <v>0.10145934676858936</v>
      </c>
      <c r="T55" s="7">
        <f t="shared" ref="T55:AH55" si="43">+T34/S34-1</f>
        <v>-4.92231361796579E-2</v>
      </c>
      <c r="U55" s="7">
        <f t="shared" si="43"/>
        <v>0.10340565778632249</v>
      </c>
      <c r="V55" s="7">
        <f t="shared" si="43"/>
        <v>0.21593030491599263</v>
      </c>
      <c r="W55" s="7">
        <f t="shared" si="43"/>
        <v>0.11405663596042315</v>
      </c>
      <c r="X55" s="7">
        <f t="shared" si="43"/>
        <v>0.10023581294214923</v>
      </c>
      <c r="Y55" s="7">
        <f t="shared" si="43"/>
        <v>8.0000000000000071E-2</v>
      </c>
      <c r="Z55" s="7">
        <f t="shared" si="43"/>
        <v>8.0000000000000071E-2</v>
      </c>
      <c r="AA55" s="7">
        <f t="shared" si="43"/>
        <v>8.0000000000000071E-2</v>
      </c>
      <c r="AB55" s="7">
        <f t="shared" si="43"/>
        <v>5.0000000000000044E-2</v>
      </c>
      <c r="AC55" s="7">
        <f t="shared" si="43"/>
        <v>5.0000000000000044E-2</v>
      </c>
      <c r="AD55" s="7">
        <f t="shared" si="43"/>
        <v>5.0000000000000044E-2</v>
      </c>
      <c r="AE55" s="7">
        <f t="shared" si="43"/>
        <v>5.0000000000000044E-2</v>
      </c>
      <c r="AF55" s="7">
        <f t="shared" si="43"/>
        <v>3.0000000000000027E-2</v>
      </c>
      <c r="AG55" s="7">
        <f t="shared" si="43"/>
        <v>3.0000000000000027E-2</v>
      </c>
      <c r="AH55" s="7">
        <f t="shared" si="43"/>
        <v>3.0000000000000027E-2</v>
      </c>
      <c r="AJ55" s="5"/>
      <c r="AK55" s="6"/>
    </row>
    <row r="56" spans="2:40" x14ac:dyDescent="0.2">
      <c r="X56" s="5"/>
      <c r="AJ56" s="2"/>
      <c r="AK56" s="2"/>
    </row>
    <row r="57" spans="2:40" x14ac:dyDescent="0.2">
      <c r="B57" s="5" t="s">
        <v>17</v>
      </c>
      <c r="C57" s="5"/>
      <c r="D57" s="5"/>
      <c r="E57" s="5"/>
      <c r="F57" s="5"/>
      <c r="L57" s="2">
        <f>+L58-L74</f>
        <v>1776</v>
      </c>
      <c r="M57" s="2">
        <f>+M58-M74</f>
        <v>675</v>
      </c>
      <c r="N57" s="2">
        <f>+N58-N74</f>
        <v>-27</v>
      </c>
      <c r="O57" s="2">
        <f>+O58-O74</f>
        <v>-1406</v>
      </c>
      <c r="X57" s="2">
        <f>+X58-X74</f>
        <v>-27</v>
      </c>
      <c r="Y57" s="2">
        <f>+O57+Y46</f>
        <v>20574.030719999999</v>
      </c>
      <c r="Z57" s="2">
        <f t="shared" ref="Z57:AH57" si="44">+Y57+Z46</f>
        <v>44413.676966400002</v>
      </c>
      <c r="AA57" s="2">
        <f t="shared" si="44"/>
        <v>71187.664036864007</v>
      </c>
      <c r="AB57" s="2">
        <f t="shared" si="44"/>
        <v>100372.67580071298</v>
      </c>
      <c r="AC57" s="2">
        <f t="shared" si="44"/>
        <v>132134.4097986788</v>
      </c>
      <c r="AD57" s="2">
        <f t="shared" si="44"/>
        <v>166648.71918961624</v>
      </c>
      <c r="AE57" s="2">
        <f t="shared" si="44"/>
        <v>204102.19735322299</v>
      </c>
      <c r="AF57" s="2">
        <f t="shared" si="44"/>
        <v>244050.3783226558</v>
      </c>
      <c r="AG57" s="2">
        <f t="shared" si="44"/>
        <v>286623.83043196582</v>
      </c>
      <c r="AH57" s="2">
        <f t="shared" si="44"/>
        <v>331959.28131818643</v>
      </c>
      <c r="AI57" s="2"/>
      <c r="AJ57" s="2"/>
      <c r="AK57" s="2"/>
      <c r="AL57" s="2"/>
      <c r="AM57" s="2"/>
      <c r="AN57" s="2"/>
    </row>
    <row r="58" spans="2:40" s="2" customFormat="1" x14ac:dyDescent="0.2">
      <c r="B58" s="2" t="s">
        <v>4</v>
      </c>
      <c r="L58" s="2">
        <f>12993+1584+4710+3092</f>
        <v>22379</v>
      </c>
      <c r="M58" s="2">
        <f>12947+1596+3697+3037</f>
        <v>21277</v>
      </c>
      <c r="N58" s="2">
        <f>11975+3089+3200+2545</f>
        <v>20809</v>
      </c>
      <c r="O58" s="2">
        <f>12367+3112+1967+1757</f>
        <v>19203</v>
      </c>
      <c r="X58" s="2">
        <f>11975+3089+3200+2545</f>
        <v>20809</v>
      </c>
    </row>
    <row r="59" spans="2:40" s="2" customFormat="1" x14ac:dyDescent="0.2">
      <c r="B59" s="2" t="s">
        <v>106</v>
      </c>
      <c r="L59" s="2">
        <v>3558</v>
      </c>
      <c r="M59" s="2">
        <v>2128</v>
      </c>
      <c r="N59" s="2">
        <v>4454</v>
      </c>
      <c r="O59" s="2">
        <v>3683</v>
      </c>
      <c r="X59" s="2">
        <v>4454</v>
      </c>
    </row>
    <row r="60" spans="2:40" s="2" customFormat="1" x14ac:dyDescent="0.2">
      <c r="B60" s="2" t="s">
        <v>112</v>
      </c>
      <c r="L60" s="2">
        <v>2272</v>
      </c>
      <c r="M60" s="2">
        <v>2521</v>
      </c>
      <c r="N60" s="2">
        <v>2561</v>
      </c>
      <c r="O60" s="2">
        <v>2590</v>
      </c>
      <c r="X60" s="2">
        <v>2561</v>
      </c>
    </row>
    <row r="61" spans="2:40" s="2" customFormat="1" x14ac:dyDescent="0.2">
      <c r="B61" s="2" t="s">
        <v>108</v>
      </c>
      <c r="L61" s="2">
        <v>3367</v>
      </c>
      <c r="M61" s="2">
        <v>3472</v>
      </c>
      <c r="N61" s="2">
        <v>3524</v>
      </c>
      <c r="O61" s="2">
        <v>3518</v>
      </c>
      <c r="X61" s="2">
        <v>3524</v>
      </c>
    </row>
    <row r="62" spans="2:40" s="2" customFormat="1" x14ac:dyDescent="0.2">
      <c r="B62" s="2" t="s">
        <v>82</v>
      </c>
      <c r="L62" s="2">
        <f>1740+3998</f>
        <v>5738</v>
      </c>
      <c r="M62" s="2">
        <f>1821+4133</f>
        <v>5954</v>
      </c>
      <c r="N62" s="2">
        <f>1918+4628</f>
        <v>6546</v>
      </c>
      <c r="O62" s="2">
        <f>1992+4631</f>
        <v>6623</v>
      </c>
      <c r="X62" s="2">
        <f>1918+4628</f>
        <v>6546</v>
      </c>
    </row>
    <row r="63" spans="2:40" s="2" customFormat="1" x14ac:dyDescent="0.2">
      <c r="B63" s="2" t="s">
        <v>15</v>
      </c>
      <c r="L63" s="2">
        <v>2551</v>
      </c>
      <c r="M63" s="2">
        <v>2857</v>
      </c>
      <c r="N63" s="2">
        <v>3312</v>
      </c>
      <c r="O63" s="2">
        <v>3393</v>
      </c>
      <c r="X63" s="2">
        <v>3312</v>
      </c>
    </row>
    <row r="64" spans="2:40" s="2" customFormat="1" x14ac:dyDescent="0.2">
      <c r="B64" s="2" t="s">
        <v>14</v>
      </c>
      <c r="L64" s="2">
        <v>3630</v>
      </c>
      <c r="M64" s="2">
        <v>3766</v>
      </c>
      <c r="N64" s="2">
        <v>3824</v>
      </c>
      <c r="O64" s="2">
        <v>3974</v>
      </c>
      <c r="X64" s="2">
        <v>3824</v>
      </c>
    </row>
    <row r="65" spans="2:37" s="2" customFormat="1" x14ac:dyDescent="0.2">
      <c r="B65" s="2" t="s">
        <v>13</v>
      </c>
      <c r="L65" s="2">
        <f>18837+26375</f>
        <v>45212</v>
      </c>
      <c r="M65" s="2">
        <f>18816+26243</f>
        <v>45059</v>
      </c>
      <c r="N65" s="2">
        <f>18941+26889</f>
        <v>45830</v>
      </c>
      <c r="O65" s="2">
        <f>19548+25889</f>
        <v>45437</v>
      </c>
      <c r="X65" s="2">
        <f>18941+26889</f>
        <v>45830</v>
      </c>
    </row>
    <row r="66" spans="2:37" s="2" customFormat="1" x14ac:dyDescent="0.2">
      <c r="B66" s="2" t="s">
        <v>11</v>
      </c>
      <c r="L66" s="2">
        <v>3692</v>
      </c>
      <c r="M66" s="2">
        <v>4006</v>
      </c>
      <c r="N66" s="2">
        <v>3651</v>
      </c>
      <c r="O66" s="2">
        <v>3467</v>
      </c>
      <c r="X66" s="2">
        <v>3651</v>
      </c>
      <c r="AJ66" s="4"/>
      <c r="AK66" s="4"/>
    </row>
    <row r="67" spans="2:37" s="4" customFormat="1" x14ac:dyDescent="0.2">
      <c r="B67" s="4" t="s">
        <v>12</v>
      </c>
      <c r="L67" s="4">
        <f>+SUM(L58:L66)</f>
        <v>92399</v>
      </c>
      <c r="M67" s="4">
        <f>+SUM(M58:M66)</f>
        <v>91040</v>
      </c>
      <c r="N67" s="4">
        <f>+SUM(N58:N66)</f>
        <v>94511</v>
      </c>
      <c r="O67" s="4">
        <f>+SUM(O58:O66)</f>
        <v>91888</v>
      </c>
      <c r="X67" s="4">
        <f>+SUM(X58:X66)</f>
        <v>94511</v>
      </c>
      <c r="AJ67" s="2"/>
      <c r="AK67" s="2"/>
    </row>
    <row r="68" spans="2:37" s="2" customFormat="1" x14ac:dyDescent="0.2">
      <c r="B68" s="2" t="s">
        <v>111</v>
      </c>
      <c r="L68" s="2">
        <v>338</v>
      </c>
      <c r="M68" s="2">
        <v>331</v>
      </c>
      <c r="N68" s="2">
        <v>479</v>
      </c>
      <c r="O68" s="2">
        <v>405</v>
      </c>
      <c r="X68" s="2">
        <v>479</v>
      </c>
    </row>
    <row r="69" spans="2:37" s="2" customFormat="1" x14ac:dyDescent="0.2">
      <c r="B69" s="2" t="s">
        <v>107</v>
      </c>
      <c r="L69" s="2">
        <f>4485+1853</f>
        <v>6338</v>
      </c>
      <c r="M69" s="2">
        <f>2576+1688</f>
        <v>4264</v>
      </c>
      <c r="N69" s="2">
        <f>5265+1727</f>
        <v>6992</v>
      </c>
      <c r="O69" s="2">
        <f>4425+1649</f>
        <v>6074</v>
      </c>
      <c r="X69" s="2">
        <f>5265+1727</f>
        <v>6992</v>
      </c>
    </row>
    <row r="70" spans="2:37" s="2" customFormat="1" x14ac:dyDescent="0.2">
      <c r="B70" s="2" t="s">
        <v>108</v>
      </c>
      <c r="L70" s="2">
        <v>3367</v>
      </c>
      <c r="M70" s="2">
        <v>3472</v>
      </c>
      <c r="N70" s="2">
        <v>3524</v>
      </c>
      <c r="O70" s="2">
        <v>3518</v>
      </c>
      <c r="X70" s="2">
        <v>3524</v>
      </c>
    </row>
    <row r="71" spans="2:37" s="2" customFormat="1" x14ac:dyDescent="0.2">
      <c r="B71" s="2" t="s">
        <v>109</v>
      </c>
      <c r="L71" s="2">
        <v>1065</v>
      </c>
      <c r="M71" s="2">
        <v>1251</v>
      </c>
      <c r="N71" s="2">
        <v>1538</v>
      </c>
      <c r="O71" s="2">
        <v>1226</v>
      </c>
      <c r="X71" s="2">
        <v>1538</v>
      </c>
    </row>
    <row r="72" spans="2:37" s="2" customFormat="1" x14ac:dyDescent="0.2">
      <c r="B72" s="2" t="s">
        <v>82</v>
      </c>
      <c r="L72" s="2">
        <v>7949</v>
      </c>
      <c r="M72" s="2">
        <v>8562</v>
      </c>
      <c r="N72" s="2">
        <v>9075</v>
      </c>
      <c r="O72" s="2">
        <v>9249</v>
      </c>
      <c r="X72" s="2">
        <v>9075</v>
      </c>
    </row>
    <row r="73" spans="2:37" s="2" customFormat="1" x14ac:dyDescent="0.2">
      <c r="B73" s="2" t="s">
        <v>110</v>
      </c>
      <c r="L73" s="2">
        <v>4386</v>
      </c>
      <c r="M73" s="2">
        <v>4732</v>
      </c>
      <c r="N73" s="2">
        <v>4909</v>
      </c>
      <c r="O73" s="2">
        <v>4690</v>
      </c>
      <c r="X73" s="2">
        <v>4909</v>
      </c>
    </row>
    <row r="74" spans="2:37" s="2" customFormat="1" x14ac:dyDescent="0.2">
      <c r="B74" s="2" t="s">
        <v>5</v>
      </c>
      <c r="L74" s="2">
        <v>20603</v>
      </c>
      <c r="M74" s="2">
        <v>20602</v>
      </c>
      <c r="N74" s="2">
        <v>20836</v>
      </c>
      <c r="O74" s="2">
        <f>3929+16680</f>
        <v>20609</v>
      </c>
      <c r="X74" s="2">
        <v>20836</v>
      </c>
    </row>
    <row r="75" spans="2:37" s="2" customFormat="1" x14ac:dyDescent="0.2">
      <c r="B75" s="2" t="s">
        <v>30</v>
      </c>
      <c r="L75" s="2">
        <v>5145</v>
      </c>
      <c r="M75" s="2">
        <v>5119</v>
      </c>
      <c r="N75" s="2">
        <v>5301</v>
      </c>
      <c r="O75" s="2">
        <v>5192</v>
      </c>
      <c r="X75" s="2">
        <v>5301</v>
      </c>
    </row>
    <row r="76" spans="2:37" s="2" customFormat="1" x14ac:dyDescent="0.2">
      <c r="B76" s="2" t="s">
        <v>11</v>
      </c>
      <c r="L76" s="2">
        <v>2723</v>
      </c>
      <c r="M76" s="2">
        <v>2978</v>
      </c>
      <c r="N76" s="2">
        <v>2720</v>
      </c>
      <c r="O76" s="2">
        <v>2629</v>
      </c>
      <c r="X76" s="2">
        <v>2720</v>
      </c>
      <c r="AJ76" s="4"/>
      <c r="AK76" s="4"/>
    </row>
    <row r="77" spans="2:37" s="4" customFormat="1" x14ac:dyDescent="0.2">
      <c r="B77" s="4" t="s">
        <v>10</v>
      </c>
      <c r="L77" s="4">
        <f>+SUM(L68:L76)</f>
        <v>51914</v>
      </c>
      <c r="M77" s="4">
        <f>+SUM(M68:M76)</f>
        <v>51311</v>
      </c>
      <c r="N77" s="4">
        <f>+SUM(N68:N76)</f>
        <v>55374</v>
      </c>
      <c r="O77" s="4">
        <f>+SUM(O68:O76)</f>
        <v>53592</v>
      </c>
      <c r="X77" s="4">
        <f>+SUM(X68:X76)</f>
        <v>55374</v>
      </c>
      <c r="AJ77" s="2"/>
      <c r="AK77" s="2"/>
    </row>
    <row r="78" spans="2:37" s="2" customFormat="1" x14ac:dyDescent="0.2">
      <c r="B78" s="2" t="s">
        <v>9</v>
      </c>
      <c r="L78" s="2">
        <v>40485</v>
      </c>
      <c r="M78" s="2">
        <v>39729</v>
      </c>
      <c r="N78" s="2">
        <v>39137</v>
      </c>
      <c r="O78" s="2">
        <v>38296</v>
      </c>
      <c r="X78" s="2">
        <v>39137</v>
      </c>
    </row>
    <row r="79" spans="2:37" s="2" customFormat="1" x14ac:dyDescent="0.2">
      <c r="B79" s="2" t="s">
        <v>8</v>
      </c>
      <c r="L79" s="2">
        <f>+L78+L77</f>
        <v>92399</v>
      </c>
      <c r="M79" s="2">
        <f>+M78+M77</f>
        <v>91040</v>
      </c>
      <c r="N79" s="2">
        <f>+N78+N77</f>
        <v>94511</v>
      </c>
      <c r="O79" s="2">
        <f>+O78+O77</f>
        <v>91888</v>
      </c>
      <c r="X79" s="2">
        <f>+X78+X77</f>
        <v>94511</v>
      </c>
      <c r="AJ79"/>
      <c r="AK79"/>
    </row>
    <row r="80" spans="2:37" s="2" customFormat="1" x14ac:dyDescent="0.2">
      <c r="AJ80"/>
      <c r="AK80"/>
    </row>
    <row r="81" spans="2:37" s="2" customFormat="1" x14ac:dyDescent="0.2">
      <c r="B81" s="2" t="s">
        <v>137</v>
      </c>
      <c r="O81" s="2">
        <f>+SUM(L46:O46)</f>
        <v>21345</v>
      </c>
      <c r="AJ81"/>
      <c r="AK81"/>
    </row>
    <row r="82" spans="2:37" s="5" customFormat="1" x14ac:dyDescent="0.2">
      <c r="B82" s="5" t="s">
        <v>138</v>
      </c>
      <c r="O82" s="5">
        <f>+O81/(O59+O60+O61+O62+O63+O64+O66)</f>
        <v>0.78336024662360537</v>
      </c>
    </row>
    <row r="84" spans="2:37" x14ac:dyDescent="0.2">
      <c r="B84" s="2" t="s">
        <v>72</v>
      </c>
      <c r="K84" s="2">
        <f>+K46</f>
        <v>5333</v>
      </c>
      <c r="L84" s="2">
        <f>+L46</f>
        <v>4967</v>
      </c>
      <c r="M84" s="2">
        <f>+M46</f>
        <v>5149</v>
      </c>
      <c r="N84" s="2">
        <f>+N46</f>
        <v>5602</v>
      </c>
      <c r="O84" s="2">
        <f>+O46</f>
        <v>5627</v>
      </c>
      <c r="X84" s="2">
        <f>+X46</f>
        <v>21239</v>
      </c>
    </row>
    <row r="85" spans="2:37" s="2" customFormat="1" x14ac:dyDescent="0.2">
      <c r="B85" s="2" t="s">
        <v>73</v>
      </c>
      <c r="K85" s="2">
        <v>4890</v>
      </c>
      <c r="L85" s="2">
        <f>9553-K85</f>
        <v>4663</v>
      </c>
      <c r="M85" s="2">
        <f>14425-SUM(K85:L85)</f>
        <v>4872</v>
      </c>
      <c r="N85" s="2">
        <f>+X85-SUM(K85:M85)</f>
        <v>5318</v>
      </c>
      <c r="O85" s="2">
        <v>5119</v>
      </c>
      <c r="X85" s="2">
        <v>19743</v>
      </c>
    </row>
    <row r="86" spans="2:37" s="2" customFormat="1" x14ac:dyDescent="0.2">
      <c r="B86" s="2" t="s">
        <v>82</v>
      </c>
      <c r="K86" s="2">
        <v>3348</v>
      </c>
      <c r="L86" s="2">
        <f>6605-K86</f>
        <v>3257</v>
      </c>
      <c r="M86" s="2">
        <f>10135-SUM(K86:L86)</f>
        <v>3530</v>
      </c>
      <c r="N86" s="2">
        <f t="shared" ref="N86:N93" si="45">+X86-SUM(K86:M86)</f>
        <v>3629</v>
      </c>
      <c r="O86" s="2">
        <v>3797</v>
      </c>
      <c r="X86" s="2">
        <v>13764</v>
      </c>
    </row>
    <row r="87" spans="2:37" s="2" customFormat="1" x14ac:dyDescent="0.2">
      <c r="B87" s="2" t="s">
        <v>92</v>
      </c>
      <c r="K87" s="2">
        <v>209</v>
      </c>
      <c r="L87" s="2">
        <f>451-K87</f>
        <v>242</v>
      </c>
      <c r="M87" s="2">
        <f>662-SUM(K87:L87)</f>
        <v>211</v>
      </c>
      <c r="N87" s="2">
        <f t="shared" si="45"/>
        <v>188</v>
      </c>
      <c r="O87" s="2">
        <v>224</v>
      </c>
      <c r="X87" s="2">
        <v>850</v>
      </c>
    </row>
    <row r="88" spans="2:37" s="2" customFormat="1" x14ac:dyDescent="0.2">
      <c r="B88" s="2" t="s">
        <v>36</v>
      </c>
      <c r="K88" s="2">
        <v>247</v>
      </c>
      <c r="L88" s="2">
        <f>496-K88</f>
        <v>249</v>
      </c>
      <c r="M88" s="2">
        <f>760-SUM(K88:L88)</f>
        <v>264</v>
      </c>
      <c r="N88" s="2">
        <f t="shared" si="45"/>
        <v>274</v>
      </c>
      <c r="O88" s="2">
        <v>282</v>
      </c>
      <c r="X88" s="2">
        <v>1034</v>
      </c>
    </row>
    <row r="89" spans="2:37" s="2" customFormat="1" x14ac:dyDescent="0.2">
      <c r="B89" s="2" t="s">
        <v>93</v>
      </c>
      <c r="K89" s="2">
        <v>59</v>
      </c>
      <c r="L89" s="2">
        <f>-68-K89</f>
        <v>-127</v>
      </c>
      <c r="M89" s="2">
        <f>-99-SUM(K89:L89)</f>
        <v>-31</v>
      </c>
      <c r="N89" s="2">
        <f t="shared" si="45"/>
        <v>-1</v>
      </c>
      <c r="O89" s="2">
        <v>38</v>
      </c>
      <c r="X89" s="2">
        <v>-100</v>
      </c>
    </row>
    <row r="90" spans="2:37" s="2" customFormat="1" x14ac:dyDescent="0.2">
      <c r="B90" s="2" t="s">
        <v>94</v>
      </c>
      <c r="K90" s="2">
        <v>-24</v>
      </c>
      <c r="L90" s="2">
        <f>-60-K90</f>
        <v>-36</v>
      </c>
      <c r="M90" s="2">
        <f>-81-SUM(K90:L90)</f>
        <v>-21</v>
      </c>
      <c r="N90" s="2">
        <f t="shared" si="45"/>
        <v>-58</v>
      </c>
      <c r="O90" s="2">
        <v>-27</v>
      </c>
      <c r="X90" s="2">
        <v>-139</v>
      </c>
    </row>
    <row r="91" spans="2:37" s="2" customFormat="1" x14ac:dyDescent="0.2">
      <c r="B91" s="2" t="s">
        <v>95</v>
      </c>
      <c r="K91" s="2">
        <v>-4</v>
      </c>
      <c r="L91" s="2">
        <f>26-K91</f>
        <v>30</v>
      </c>
      <c r="M91" s="2">
        <f>48-SUM(K91:L91)</f>
        <v>22</v>
      </c>
      <c r="N91" s="2">
        <f t="shared" si="45"/>
        <v>46</v>
      </c>
      <c r="O91" s="2">
        <v>75</v>
      </c>
      <c r="X91" s="2">
        <v>94</v>
      </c>
    </row>
    <row r="92" spans="2:37" s="2" customFormat="1" x14ac:dyDescent="0.2">
      <c r="B92" s="2" t="s">
        <v>11</v>
      </c>
      <c r="K92" s="2">
        <v>11</v>
      </c>
      <c r="L92" s="2">
        <f>58-K92</f>
        <v>47</v>
      </c>
      <c r="M92" s="2">
        <f>122-SUM(K92:L92)</f>
        <v>64</v>
      </c>
      <c r="N92" s="2">
        <f t="shared" si="45"/>
        <v>14</v>
      </c>
      <c r="O92" s="2">
        <v>56</v>
      </c>
      <c r="X92" s="2">
        <v>136</v>
      </c>
    </row>
    <row r="93" spans="2:37" s="2" customFormat="1" x14ac:dyDescent="0.2">
      <c r="B93" s="2" t="s">
        <v>96</v>
      </c>
      <c r="K93" s="2">
        <f>-257-195-3601-204-18+313-877-283</f>
        <v>-5122</v>
      </c>
      <c r="L93" s="2">
        <f>-1335+34-7088-258-25+1143-1479+99-K93</f>
        <v>-3787</v>
      </c>
      <c r="M93" s="2">
        <f>92-214-10317-173-27-765-1216-66-SUM(K93:L93)</f>
        <v>-3777</v>
      </c>
      <c r="N93" s="2">
        <f t="shared" si="45"/>
        <v>-2746</v>
      </c>
      <c r="O93" s="2">
        <f>657-64-3649-10-54-673-303-72</f>
        <v>-4168</v>
      </c>
      <c r="X93" s="2">
        <f>-2175-237-14067-199+109+1841-676-28</f>
        <v>-15432</v>
      </c>
    </row>
    <row r="94" spans="2:37" s="2" customFormat="1" x14ac:dyDescent="0.2">
      <c r="B94" s="2" t="s">
        <v>21</v>
      </c>
      <c r="K94" s="2">
        <f>+SUM(K85:K93)</f>
        <v>3614</v>
      </c>
      <c r="L94" s="2">
        <f>+SUM(L85:L93)</f>
        <v>4538</v>
      </c>
      <c r="M94" s="2">
        <f>+SUM(M85:M93)</f>
        <v>5134</v>
      </c>
      <c r="N94" s="2">
        <f>+SUM(N85:N93)</f>
        <v>6664</v>
      </c>
      <c r="O94" s="2">
        <f>+SUM(O85:O93)</f>
        <v>5396</v>
      </c>
      <c r="S94" s="2">
        <v>12784</v>
      </c>
      <c r="T94" s="2">
        <v>10440</v>
      </c>
      <c r="U94" s="2">
        <v>15227</v>
      </c>
      <c r="V94" s="2">
        <v>18849</v>
      </c>
      <c r="W94" s="2">
        <v>20755</v>
      </c>
      <c r="X94" s="2">
        <f>+SUM(X85:X93)</f>
        <v>19950</v>
      </c>
    </row>
    <row r="96" spans="2:37" x14ac:dyDescent="0.2">
      <c r="B96" s="2" t="s">
        <v>19</v>
      </c>
      <c r="K96">
        <v>-267</v>
      </c>
      <c r="L96">
        <f>-548-K96</f>
        <v>-281</v>
      </c>
      <c r="M96">
        <f>-948-SUM(K96:L96)</f>
        <v>-400</v>
      </c>
      <c r="N96" s="2">
        <f t="shared" ref="N96:N99" si="46">+X96-SUM(K96:M96)</f>
        <v>-309</v>
      </c>
      <c r="O96">
        <v>-345</v>
      </c>
      <c r="S96" s="2">
        <v>-756</v>
      </c>
      <c r="T96" s="2">
        <v>-736</v>
      </c>
      <c r="U96" s="2">
        <v>-705</v>
      </c>
      <c r="V96" s="2">
        <v>-970</v>
      </c>
      <c r="W96" s="2">
        <v>-1059</v>
      </c>
      <c r="X96" s="2">
        <v>-1257</v>
      </c>
    </row>
    <row r="97" spans="2:24" x14ac:dyDescent="0.2">
      <c r="B97" s="2" t="s">
        <v>97</v>
      </c>
      <c r="K97">
        <f>-2743+1137</f>
        <v>-1606</v>
      </c>
      <c r="L97">
        <f>-3686+2145-K97</f>
        <v>65</v>
      </c>
      <c r="M97">
        <f>-4443+3866-SUM(K97:L97)</f>
        <v>964</v>
      </c>
      <c r="N97" s="2">
        <f t="shared" si="46"/>
        <v>1147</v>
      </c>
      <c r="O97">
        <v>2042</v>
      </c>
      <c r="X97">
        <f>-4443+5013</f>
        <v>570</v>
      </c>
    </row>
    <row r="98" spans="2:24" x14ac:dyDescent="0.2">
      <c r="B98" s="2" t="s">
        <v>98</v>
      </c>
      <c r="K98">
        <v>0</v>
      </c>
      <c r="L98">
        <f>-915-K98</f>
        <v>-915</v>
      </c>
      <c r="M98">
        <f>-915-SUM(K98:L98)</f>
        <v>0</v>
      </c>
      <c r="N98" s="2">
        <f t="shared" si="46"/>
        <v>0</v>
      </c>
      <c r="O98">
        <v>-906</v>
      </c>
      <c r="X98">
        <v>-915</v>
      </c>
    </row>
    <row r="99" spans="2:24" x14ac:dyDescent="0.2">
      <c r="B99" s="2" t="s">
        <v>11</v>
      </c>
      <c r="K99">
        <f>-11-5</f>
        <v>-16</v>
      </c>
      <c r="L99">
        <f>-47-K99</f>
        <v>-31</v>
      </c>
      <c r="M99">
        <f>-19-51-SUM(K99:L99)</f>
        <v>-23</v>
      </c>
      <c r="N99" s="2">
        <f t="shared" si="46"/>
        <v>-254</v>
      </c>
      <c r="O99">
        <f>-6+5</f>
        <v>-1</v>
      </c>
      <c r="X99">
        <f>-231-93</f>
        <v>-324</v>
      </c>
    </row>
    <row r="100" spans="2:24" x14ac:dyDescent="0.2">
      <c r="B100" s="2" t="s">
        <v>99</v>
      </c>
      <c r="K100">
        <f>+SUM(K96:K99)</f>
        <v>-1889</v>
      </c>
      <c r="L100">
        <f>+SUM(L96:L99)</f>
        <v>-1162</v>
      </c>
      <c r="M100">
        <f>+SUM(M96:M99)</f>
        <v>541</v>
      </c>
      <c r="N100">
        <f>+SUM(N96:N99)</f>
        <v>584</v>
      </c>
      <c r="O100">
        <f>+SUM(O96:O99)</f>
        <v>790</v>
      </c>
      <c r="X100" s="2">
        <f>+SUM(X96:X99)</f>
        <v>-1926</v>
      </c>
    </row>
    <row r="102" spans="2:24" s="2" customFormat="1" x14ac:dyDescent="0.2">
      <c r="B102" s="2" t="s">
        <v>100</v>
      </c>
      <c r="K102" s="2">
        <v>-3580</v>
      </c>
      <c r="L102" s="2">
        <f>-6338-K102</f>
        <v>-2758</v>
      </c>
      <c r="M102" s="2">
        <f>-10865-SUM(K102:L102)</f>
        <v>-4527</v>
      </c>
      <c r="N102" s="2">
        <f t="shared" ref="N102:N107" si="47">+X102-SUM(K102:M102)</f>
        <v>-5848</v>
      </c>
      <c r="O102" s="2">
        <v>-4011</v>
      </c>
      <c r="X102" s="2">
        <v>-16713</v>
      </c>
    </row>
    <row r="103" spans="2:24" s="2" customFormat="1" x14ac:dyDescent="0.2">
      <c r="B103" s="2" t="s">
        <v>101</v>
      </c>
      <c r="K103" s="2">
        <v>-1060</v>
      </c>
      <c r="L103" s="2">
        <f>-2120-K103</f>
        <v>-1060</v>
      </c>
      <c r="M103" s="2">
        <f>-3176-SUM(K103:L103)</f>
        <v>-1056</v>
      </c>
      <c r="N103" s="2">
        <f t="shared" si="47"/>
        <v>-1041</v>
      </c>
      <c r="O103" s="2">
        <v>-1170</v>
      </c>
      <c r="X103" s="2">
        <v>-4217</v>
      </c>
    </row>
    <row r="104" spans="2:24" s="2" customFormat="1" x14ac:dyDescent="0.2">
      <c r="B104" s="2" t="s">
        <v>102</v>
      </c>
      <c r="K104" s="2">
        <f>104-172</f>
        <v>-68</v>
      </c>
      <c r="L104" s="2">
        <f>183-181-K104</f>
        <v>70</v>
      </c>
      <c r="M104" s="2">
        <f>267-189-SUM(K104:L104)</f>
        <v>76</v>
      </c>
      <c r="N104" s="2">
        <f t="shared" si="47"/>
        <v>49</v>
      </c>
      <c r="O104" s="2">
        <f>127-235</f>
        <v>-108</v>
      </c>
      <c r="X104" s="2">
        <f>335-208</f>
        <v>127</v>
      </c>
    </row>
    <row r="105" spans="2:24" s="2" customFormat="1" x14ac:dyDescent="0.2">
      <c r="B105" s="2" t="s">
        <v>11</v>
      </c>
      <c r="K105" s="2">
        <v>329</v>
      </c>
      <c r="L105" s="2">
        <f>203-K105</f>
        <v>-126</v>
      </c>
      <c r="M105" s="2">
        <f>399-SUM(K105:L105)</f>
        <v>196</v>
      </c>
      <c r="N105" s="2">
        <f t="shared" si="47"/>
        <v>-229</v>
      </c>
      <c r="O105" s="2">
        <v>-186</v>
      </c>
      <c r="X105" s="2">
        <v>170</v>
      </c>
    </row>
    <row r="106" spans="2:24" s="2" customFormat="1" x14ac:dyDescent="0.2">
      <c r="B106" s="2" t="s">
        <v>103</v>
      </c>
      <c r="K106" s="2">
        <f>+SUM(K102:K105)</f>
        <v>-4379</v>
      </c>
      <c r="L106" s="2">
        <f>+SUM(L102:L105)</f>
        <v>-3874</v>
      </c>
      <c r="M106" s="2">
        <f>+SUM(M102:M105)</f>
        <v>-5311</v>
      </c>
      <c r="N106" s="2">
        <f>+SUM(N102:N105)</f>
        <v>-7069</v>
      </c>
      <c r="O106" s="2">
        <f>+SUM(O102:O105)</f>
        <v>-5475</v>
      </c>
      <c r="X106" s="2">
        <f>+SUM(X102:X105)</f>
        <v>-20633</v>
      </c>
    </row>
    <row r="107" spans="2:24" x14ac:dyDescent="0.2">
      <c r="B107" s="2" t="s">
        <v>104</v>
      </c>
      <c r="K107">
        <v>300</v>
      </c>
      <c r="L107">
        <f>124-K107</f>
        <v>-176</v>
      </c>
      <c r="M107">
        <f>74-SUM(K107:L107)</f>
        <v>-50</v>
      </c>
      <c r="N107" s="2">
        <f t="shared" si="47"/>
        <v>308</v>
      </c>
      <c r="O107">
        <v>-508</v>
      </c>
      <c r="X107" s="2">
        <v>382</v>
      </c>
    </row>
    <row r="108" spans="2:24" x14ac:dyDescent="0.2">
      <c r="B108" s="2" t="s">
        <v>105</v>
      </c>
      <c r="K108" s="2">
        <f>+K94+K100+K106+K107</f>
        <v>-2354</v>
      </c>
      <c r="L108" s="2">
        <f>+L94+L100+L106+L107</f>
        <v>-674</v>
      </c>
      <c r="M108" s="2">
        <f>+M94+M100+M106+M107</f>
        <v>314</v>
      </c>
      <c r="N108" s="2">
        <f>+N94+N100+N106+N107</f>
        <v>487</v>
      </c>
      <c r="O108" s="2">
        <f>+O94+O100+O106+O107</f>
        <v>203</v>
      </c>
      <c r="X108" s="2">
        <f>+X94+X100+X106+X107</f>
        <v>-2227</v>
      </c>
    </row>
    <row r="110" spans="2:24" x14ac:dyDescent="0.2">
      <c r="B110" s="2" t="s">
        <v>7</v>
      </c>
      <c r="K110" s="2">
        <f>+K94+K96</f>
        <v>3347</v>
      </c>
      <c r="L110" s="2">
        <f>+L94+L96</f>
        <v>4257</v>
      </c>
      <c r="M110" s="2">
        <f>+M94+M96</f>
        <v>4734</v>
      </c>
      <c r="N110" s="2">
        <f>+N94+N96</f>
        <v>6355</v>
      </c>
      <c r="O110" s="2">
        <f>+O94+O96</f>
        <v>5051</v>
      </c>
      <c r="S110" s="2">
        <f t="shared" ref="S110:X110" si="48">+S94+S96</f>
        <v>12028</v>
      </c>
      <c r="T110" s="2">
        <f t="shared" si="48"/>
        <v>9704</v>
      </c>
      <c r="U110" s="2">
        <f t="shared" si="48"/>
        <v>14522</v>
      </c>
      <c r="V110" s="2">
        <f t="shared" si="48"/>
        <v>17879</v>
      </c>
      <c r="W110" s="2">
        <f t="shared" si="48"/>
        <v>19696</v>
      </c>
      <c r="X110" s="2">
        <f t="shared" si="48"/>
        <v>18693</v>
      </c>
    </row>
    <row r="111" spans="2:24" x14ac:dyDescent="0.2">
      <c r="B111" s="11" t="s">
        <v>113</v>
      </c>
      <c r="N111" s="2">
        <f>+SUM(K110:N110)</f>
        <v>18693</v>
      </c>
      <c r="O111" s="2">
        <f>+SUM(L110:O110)</f>
        <v>20397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2025-04-09T15:43:55Z</dcterms:created>
  <dcterms:modified xsi:type="dcterms:W3CDTF">2025-04-16T18:25:37Z</dcterms:modified>
</cp:coreProperties>
</file>