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Retail\Grocery\"/>
    </mc:Choice>
  </mc:AlternateContent>
  <xr:revisionPtr revIDLastSave="0" documentId="13_ncr:1_{CE17E0C6-BEE9-4AEB-A607-42CB83BF319F}" xr6:coauthVersionLast="47" xr6:coauthVersionMax="47" xr10:uidLastSave="{00000000-0000-0000-0000-000000000000}"/>
  <bookViews>
    <workbookView xWindow="33300" yWindow="150" windowWidth="14235" windowHeight="15495" activeTab="1" xr2:uid="{86DA814D-DFB0-4B88-B38D-D2F9B83918DE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2" l="1"/>
  <c r="AD16" i="2"/>
  <c r="AE16" i="2" s="1"/>
  <c r="AF16" i="2" s="1"/>
  <c r="AG16" i="2" s="1"/>
  <c r="AH16" i="2" s="1"/>
  <c r="AI16" i="2" s="1"/>
  <c r="AJ16" i="2" s="1"/>
  <c r="AK16" i="2" s="1"/>
  <c r="AL16" i="2" s="1"/>
  <c r="AC33" i="2"/>
  <c r="AC21" i="2"/>
  <c r="AD26" i="2"/>
  <c r="AE26" i="2" s="1"/>
  <c r="AF26" i="2" s="1"/>
  <c r="AG26" i="2" s="1"/>
  <c r="AH26" i="2" s="1"/>
  <c r="AI26" i="2" s="1"/>
  <c r="AJ26" i="2" s="1"/>
  <c r="AK26" i="2" s="1"/>
  <c r="AL26" i="2" s="1"/>
  <c r="AC26" i="2"/>
  <c r="AC20" i="2" l="1"/>
  <c r="AC22" i="2" s="1"/>
  <c r="AC17" i="2"/>
  <c r="AC18" i="2" s="1"/>
  <c r="Q12" i="2"/>
  <c r="Q10" i="2" s="1"/>
  <c r="R12" i="2"/>
  <c r="R9" i="2" s="1"/>
  <c r="S12" i="2"/>
  <c r="S10" i="2" s="1"/>
  <c r="T12" i="2"/>
  <c r="T9" i="2" s="1"/>
  <c r="U12" i="2"/>
  <c r="U9" i="2" s="1"/>
  <c r="V12" i="2"/>
  <c r="V10" i="2" s="1"/>
  <c r="W12" i="2"/>
  <c r="Q16" i="2"/>
  <c r="Q18" i="2" s="1"/>
  <c r="R16" i="2"/>
  <c r="S16" i="2"/>
  <c r="T16" i="2"/>
  <c r="U16" i="2"/>
  <c r="V16" i="2"/>
  <c r="W16" i="2"/>
  <c r="Z7" i="2"/>
  <c r="AA7" i="2"/>
  <c r="AB7" i="2"/>
  <c r="AB4" i="2"/>
  <c r="AB5" i="2" s="1"/>
  <c r="AB3" i="2"/>
  <c r="AA4" i="2"/>
  <c r="AA3" i="2"/>
  <c r="Z4" i="2"/>
  <c r="Z3" i="2"/>
  <c r="Y5" i="2"/>
  <c r="X5" i="2"/>
  <c r="W5" i="2"/>
  <c r="V5" i="2"/>
  <c r="U5" i="2"/>
  <c r="T5" i="2"/>
  <c r="S5" i="2"/>
  <c r="R5" i="2"/>
  <c r="Q5" i="2"/>
  <c r="W10" i="2"/>
  <c r="U10" i="2"/>
  <c r="R10" i="2"/>
  <c r="W9" i="2"/>
  <c r="V9" i="2"/>
  <c r="S9" i="2"/>
  <c r="Q9" i="2"/>
  <c r="X12" i="2"/>
  <c r="X10" i="2" s="1"/>
  <c r="Y12" i="2"/>
  <c r="Y9" i="2" s="1"/>
  <c r="AA88" i="2"/>
  <c r="Z88" i="2"/>
  <c r="Y88" i="2"/>
  <c r="X88" i="2"/>
  <c r="X16" i="2"/>
  <c r="Y16" i="2"/>
  <c r="Z23" i="2"/>
  <c r="Z21" i="2"/>
  <c r="Z19" i="2"/>
  <c r="Z17" i="2"/>
  <c r="AA23" i="2"/>
  <c r="AA21" i="2"/>
  <c r="AA19" i="2"/>
  <c r="AA17" i="2"/>
  <c r="AA26" i="2"/>
  <c r="Z26" i="2"/>
  <c r="AB26" i="2"/>
  <c r="AB23" i="2"/>
  <c r="AB21" i="2"/>
  <c r="AB19" i="2"/>
  <c r="AB17" i="2"/>
  <c r="Z14" i="2"/>
  <c r="Z15" i="2"/>
  <c r="AA14" i="2"/>
  <c r="AA15" i="2"/>
  <c r="AB14" i="2"/>
  <c r="AB15" i="2"/>
  <c r="AA52" i="2"/>
  <c r="AA51" i="2"/>
  <c r="AA46" i="2"/>
  <c r="AA35" i="2" s="1"/>
  <c r="AA45" i="2"/>
  <c r="AB52" i="2"/>
  <c r="AB51" i="2"/>
  <c r="AB46" i="2"/>
  <c r="AB35" i="2" s="1"/>
  <c r="AB45" i="2"/>
  <c r="AA5" i="2"/>
  <c r="Z12" i="2"/>
  <c r="Z10" i="2" s="1"/>
  <c r="E12" i="2"/>
  <c r="E10" i="2" s="1"/>
  <c r="D12" i="2"/>
  <c r="D10" i="2" s="1"/>
  <c r="C12" i="2"/>
  <c r="C10" i="2" s="1"/>
  <c r="B12" i="2"/>
  <c r="B10" i="2" s="1"/>
  <c r="E16" i="2"/>
  <c r="E18" i="2" s="1"/>
  <c r="D16" i="2"/>
  <c r="D18" i="2" s="1"/>
  <c r="C16" i="2"/>
  <c r="C18" i="2" s="1"/>
  <c r="B16" i="2"/>
  <c r="B18" i="2" s="1"/>
  <c r="E5" i="2"/>
  <c r="D5" i="2"/>
  <c r="C5" i="2"/>
  <c r="B5" i="2"/>
  <c r="L6" i="1"/>
  <c r="L52" i="2"/>
  <c r="L51" i="2"/>
  <c r="L46" i="2"/>
  <c r="L45" i="2"/>
  <c r="K85" i="2"/>
  <c r="L85" i="2" s="1"/>
  <c r="K83" i="2"/>
  <c r="L83" i="2" s="1"/>
  <c r="M83" i="2" s="1"/>
  <c r="K81" i="2"/>
  <c r="L81" i="2" s="1"/>
  <c r="M81" i="2" s="1"/>
  <c r="K80" i="2"/>
  <c r="L80" i="2" s="1"/>
  <c r="K79" i="2"/>
  <c r="L79" i="2" s="1"/>
  <c r="M79" i="2" s="1"/>
  <c r="K78" i="2"/>
  <c r="L78" i="2" s="1"/>
  <c r="M78" i="2" s="1"/>
  <c r="K74" i="2"/>
  <c r="L74" i="2" s="1"/>
  <c r="K66" i="2"/>
  <c r="L66" i="2" s="1"/>
  <c r="M66" i="2" s="1"/>
  <c r="K67" i="2"/>
  <c r="K65" i="2"/>
  <c r="L65" i="2" s="1"/>
  <c r="M65" i="2" s="1"/>
  <c r="K64" i="2"/>
  <c r="L64" i="2" s="1"/>
  <c r="M64" i="2" s="1"/>
  <c r="K63" i="2"/>
  <c r="L63" i="2" s="1"/>
  <c r="K52" i="2"/>
  <c r="K51" i="2"/>
  <c r="K46" i="2"/>
  <c r="K35" i="2" s="1"/>
  <c r="K45" i="2"/>
  <c r="J71" i="2"/>
  <c r="J77" i="2"/>
  <c r="J68" i="2"/>
  <c r="J69" i="2" s="1"/>
  <c r="J73" i="2"/>
  <c r="M72" i="2"/>
  <c r="J52" i="2"/>
  <c r="J51" i="2"/>
  <c r="J46" i="2"/>
  <c r="J45" i="2"/>
  <c r="H5" i="2"/>
  <c r="L5" i="2"/>
  <c r="M5" i="2"/>
  <c r="H16" i="2"/>
  <c r="L16" i="2"/>
  <c r="H12" i="2"/>
  <c r="H9" i="2" s="1"/>
  <c r="L12" i="2"/>
  <c r="L10" i="2" s="1"/>
  <c r="G5" i="2"/>
  <c r="K5" i="2"/>
  <c r="G16" i="2"/>
  <c r="G33" i="2" s="1"/>
  <c r="K16" i="2"/>
  <c r="G12" i="2"/>
  <c r="G9" i="2" s="1"/>
  <c r="K12" i="2"/>
  <c r="K10" i="2" s="1"/>
  <c r="F5" i="2"/>
  <c r="F16" i="2"/>
  <c r="J16" i="2"/>
  <c r="J5" i="2"/>
  <c r="F12" i="2"/>
  <c r="F10" i="2" s="1"/>
  <c r="J12" i="2"/>
  <c r="J10" i="2" s="1"/>
  <c r="I12" i="2"/>
  <c r="I10" i="2" s="1"/>
  <c r="I5" i="2"/>
  <c r="M82" i="2"/>
  <c r="AB77" i="2"/>
  <c r="AB84" i="2" s="1"/>
  <c r="AB71" i="2"/>
  <c r="AB75" i="2" s="1"/>
  <c r="AB68" i="2"/>
  <c r="AB69" i="2" s="1"/>
  <c r="I52" i="2"/>
  <c r="I51" i="2"/>
  <c r="I46" i="2"/>
  <c r="I35" i="2" s="1"/>
  <c r="I45" i="2"/>
  <c r="M52" i="2"/>
  <c r="M51" i="2"/>
  <c r="M46" i="2"/>
  <c r="M35" i="2" s="1"/>
  <c r="M12" i="2"/>
  <c r="M10" i="2" s="1"/>
  <c r="M45" i="2"/>
  <c r="I16" i="2"/>
  <c r="M16" i="2"/>
  <c r="M18" i="2" s="1"/>
  <c r="M28" i="2" s="1"/>
  <c r="L5" i="1"/>
  <c r="AC19" i="2" l="1"/>
  <c r="AC28" i="2"/>
  <c r="AD33" i="2"/>
  <c r="AC29" i="2"/>
  <c r="AD20" i="2"/>
  <c r="AD29" i="2" s="1"/>
  <c r="AD17" i="2"/>
  <c r="AD18" i="2" s="1"/>
  <c r="AC23" i="2"/>
  <c r="T10" i="2"/>
  <c r="AA16" i="2"/>
  <c r="R33" i="2"/>
  <c r="Q28" i="2"/>
  <c r="Q20" i="2"/>
  <c r="S33" i="2"/>
  <c r="R18" i="2"/>
  <c r="T33" i="2"/>
  <c r="S18" i="2"/>
  <c r="U33" i="2"/>
  <c r="T18" i="2"/>
  <c r="V33" i="2"/>
  <c r="U18" i="2"/>
  <c r="W33" i="2"/>
  <c r="V18" i="2"/>
  <c r="W18" i="2"/>
  <c r="X33" i="2"/>
  <c r="J88" i="2"/>
  <c r="AB88" i="2"/>
  <c r="B9" i="2"/>
  <c r="C9" i="2"/>
  <c r="K68" i="2"/>
  <c r="L68" i="2" s="1"/>
  <c r="D9" i="2"/>
  <c r="AB16" i="2"/>
  <c r="AB18" i="2" s="1"/>
  <c r="K77" i="2"/>
  <c r="L77" i="2" s="1"/>
  <c r="E9" i="2"/>
  <c r="J55" i="2"/>
  <c r="J57" i="2" s="1"/>
  <c r="K55" i="2"/>
  <c r="K57" i="2" s="1"/>
  <c r="Y10" i="2"/>
  <c r="Z16" i="2"/>
  <c r="Z33" i="2" s="1"/>
  <c r="X9" i="2"/>
  <c r="M85" i="2"/>
  <c r="J84" i="2"/>
  <c r="AA55" i="2"/>
  <c r="AA57" i="2" s="1"/>
  <c r="M74" i="2"/>
  <c r="AA18" i="2"/>
  <c r="M80" i="2"/>
  <c r="K71" i="2"/>
  <c r="L55" i="2"/>
  <c r="L57" i="2" s="1"/>
  <c r="AA12" i="2"/>
  <c r="AB55" i="2"/>
  <c r="AB57" i="2" s="1"/>
  <c r="AB12" i="2"/>
  <c r="AB10" i="2" s="1"/>
  <c r="L67" i="2"/>
  <c r="M67" i="2" s="1"/>
  <c r="J35" i="2"/>
  <c r="L7" i="1"/>
  <c r="L8" i="1" s="1"/>
  <c r="L10" i="1" s="1"/>
  <c r="Z9" i="2"/>
  <c r="AB9" i="2"/>
  <c r="K73" i="2"/>
  <c r="M73" i="2" s="1"/>
  <c r="J75" i="2"/>
  <c r="Z5" i="2"/>
  <c r="X18" i="2"/>
  <c r="Y33" i="2"/>
  <c r="Y18" i="2"/>
  <c r="E28" i="2"/>
  <c r="E20" i="2"/>
  <c r="I33" i="2"/>
  <c r="D28" i="2"/>
  <c r="D20" i="2"/>
  <c r="H33" i="2"/>
  <c r="C28" i="2"/>
  <c r="C20" i="2"/>
  <c r="B28" i="2"/>
  <c r="B20" i="2"/>
  <c r="F33" i="2"/>
  <c r="L35" i="2"/>
  <c r="K84" i="2"/>
  <c r="M63" i="2"/>
  <c r="M68" i="2"/>
  <c r="K9" i="2"/>
  <c r="J9" i="2"/>
  <c r="G10" i="2"/>
  <c r="F9" i="2"/>
  <c r="AB86" i="2"/>
  <c r="I9" i="2"/>
  <c r="L9" i="2"/>
  <c r="H10" i="2"/>
  <c r="M55" i="2"/>
  <c r="M57" i="2" s="1"/>
  <c r="I55" i="2"/>
  <c r="I57" i="2" s="1"/>
  <c r="L33" i="2"/>
  <c r="H18" i="2"/>
  <c r="L18" i="2"/>
  <c r="K33" i="2"/>
  <c r="G18" i="2"/>
  <c r="G28" i="2" s="1"/>
  <c r="K18" i="2"/>
  <c r="J33" i="2"/>
  <c r="F18" i="2"/>
  <c r="J18" i="2"/>
  <c r="M9" i="2"/>
  <c r="I18" i="2"/>
  <c r="M20" i="2"/>
  <c r="M33" i="2"/>
  <c r="AD28" i="2" l="1"/>
  <c r="AD19" i="2"/>
  <c r="AC24" i="2"/>
  <c r="AC31" i="2"/>
  <c r="AE33" i="2"/>
  <c r="AE17" i="2"/>
  <c r="AE18" i="2"/>
  <c r="AE20" i="2"/>
  <c r="AE29" i="2" s="1"/>
  <c r="AC35" i="2"/>
  <c r="AD21" i="2" s="1"/>
  <c r="AC25" i="2"/>
  <c r="K69" i="2"/>
  <c r="J86" i="2"/>
  <c r="Q29" i="2"/>
  <c r="Q22" i="2"/>
  <c r="R28" i="2"/>
  <c r="R20" i="2"/>
  <c r="S28" i="2"/>
  <c r="S20" i="2"/>
  <c r="T28" i="2"/>
  <c r="T20" i="2"/>
  <c r="U28" i="2"/>
  <c r="U20" i="2"/>
  <c r="V28" i="2"/>
  <c r="V20" i="2"/>
  <c r="W28" i="2"/>
  <c r="W20" i="2"/>
  <c r="L69" i="2"/>
  <c r="AA33" i="2"/>
  <c r="AB33" i="2"/>
  <c r="L84" i="2"/>
  <c r="M77" i="2"/>
  <c r="M84" i="2" s="1"/>
  <c r="K75" i="2"/>
  <c r="Z18" i="2"/>
  <c r="Z20" i="2" s="1"/>
  <c r="Z22" i="2" s="1"/>
  <c r="Z28" i="2"/>
  <c r="AA20" i="2"/>
  <c r="AA28" i="2"/>
  <c r="AB28" i="2"/>
  <c r="AB20" i="2"/>
  <c r="K88" i="2"/>
  <c r="AA10" i="2"/>
  <c r="AA9" i="2"/>
  <c r="L71" i="2"/>
  <c r="L75" i="2" s="1"/>
  <c r="L86" i="2" s="1"/>
  <c r="X28" i="2"/>
  <c r="X20" i="2"/>
  <c r="Y20" i="2"/>
  <c r="Y28" i="2"/>
  <c r="E29" i="2"/>
  <c r="E22" i="2"/>
  <c r="D29" i="2"/>
  <c r="D22" i="2"/>
  <c r="C29" i="2"/>
  <c r="C22" i="2"/>
  <c r="B29" i="2"/>
  <c r="B22" i="2"/>
  <c r="K86" i="2"/>
  <c r="M69" i="2"/>
  <c r="H28" i="2"/>
  <c r="H20" i="2"/>
  <c r="L28" i="2"/>
  <c r="L20" i="2"/>
  <c r="G20" i="2"/>
  <c r="G22" i="2" s="1"/>
  <c r="K28" i="2"/>
  <c r="K20" i="2"/>
  <c r="F28" i="2"/>
  <c r="F20" i="2"/>
  <c r="J28" i="2"/>
  <c r="J20" i="2"/>
  <c r="M29" i="2"/>
  <c r="M22" i="2"/>
  <c r="I28" i="2"/>
  <c r="I20" i="2"/>
  <c r="AE28" i="2" l="1"/>
  <c r="AE19" i="2"/>
  <c r="AF33" i="2"/>
  <c r="AF17" i="2"/>
  <c r="AF18" i="2"/>
  <c r="AF20" i="2"/>
  <c r="AF29" i="2" s="1"/>
  <c r="AD22" i="2"/>
  <c r="AD23" i="2" s="1"/>
  <c r="Z29" i="2"/>
  <c r="Q31" i="2"/>
  <c r="Q24" i="2"/>
  <c r="R29" i="2"/>
  <c r="R22" i="2"/>
  <c r="S29" i="2"/>
  <c r="S22" i="2"/>
  <c r="T29" i="2"/>
  <c r="T22" i="2"/>
  <c r="U29" i="2"/>
  <c r="U22" i="2"/>
  <c r="V29" i="2"/>
  <c r="V22" i="2"/>
  <c r="W29" i="2"/>
  <c r="W22" i="2"/>
  <c r="M71" i="2"/>
  <c r="M75" i="2" s="1"/>
  <c r="M86" i="2"/>
  <c r="AA29" i="2"/>
  <c r="AA22" i="2"/>
  <c r="AB29" i="2"/>
  <c r="AB22" i="2"/>
  <c r="L88" i="2"/>
  <c r="M88" i="2" s="1"/>
  <c r="M89" i="2" s="1"/>
  <c r="X29" i="2"/>
  <c r="X22" i="2"/>
  <c r="Y29" i="2"/>
  <c r="Y22" i="2"/>
  <c r="Z24" i="2"/>
  <c r="Z31" i="2"/>
  <c r="E31" i="2"/>
  <c r="E24" i="2"/>
  <c r="D31" i="2"/>
  <c r="D24" i="2"/>
  <c r="C31" i="2"/>
  <c r="C24" i="2"/>
  <c r="B31" i="2"/>
  <c r="B24" i="2"/>
  <c r="H29" i="2"/>
  <c r="H22" i="2"/>
  <c r="L29" i="2"/>
  <c r="L22" i="2"/>
  <c r="G29" i="2"/>
  <c r="G31" i="2"/>
  <c r="G24" i="2"/>
  <c r="K29" i="2"/>
  <c r="K22" i="2"/>
  <c r="F29" i="2"/>
  <c r="F22" i="2"/>
  <c r="J29" i="2"/>
  <c r="J22" i="2"/>
  <c r="M31" i="2"/>
  <c r="M24" i="2"/>
  <c r="M62" i="2" s="1"/>
  <c r="I29" i="2"/>
  <c r="I22" i="2"/>
  <c r="AF28" i="2" l="1"/>
  <c r="AF19" i="2"/>
  <c r="AD24" i="2"/>
  <c r="AD31" i="2"/>
  <c r="AG33" i="2"/>
  <c r="AG17" i="2"/>
  <c r="AG18" i="2"/>
  <c r="AG20" i="2"/>
  <c r="AG29" i="2" s="1"/>
  <c r="AD35" i="2"/>
  <c r="AE21" i="2" s="1"/>
  <c r="Q30" i="2"/>
  <c r="Q25" i="2"/>
  <c r="R31" i="2"/>
  <c r="R24" i="2"/>
  <c r="S31" i="2"/>
  <c r="S24" i="2"/>
  <c r="T31" i="2"/>
  <c r="T24" i="2"/>
  <c r="U31" i="2"/>
  <c r="U24" i="2"/>
  <c r="V31" i="2"/>
  <c r="V24" i="2"/>
  <c r="W31" i="2"/>
  <c r="W24" i="2"/>
  <c r="AB24" i="2"/>
  <c r="AB31" i="2"/>
  <c r="AA31" i="2"/>
  <c r="AA24" i="2"/>
  <c r="X31" i="2"/>
  <c r="X24" i="2"/>
  <c r="Y24" i="2"/>
  <c r="Y31" i="2"/>
  <c r="Z25" i="2"/>
  <c r="Z30" i="2"/>
  <c r="E30" i="2"/>
  <c r="E25" i="2"/>
  <c r="D30" i="2"/>
  <c r="D25" i="2"/>
  <c r="C30" i="2"/>
  <c r="C25" i="2"/>
  <c r="B30" i="2"/>
  <c r="B25" i="2"/>
  <c r="H31" i="2"/>
  <c r="H24" i="2"/>
  <c r="L31" i="2"/>
  <c r="L24" i="2"/>
  <c r="L62" i="2" s="1"/>
  <c r="G30" i="2"/>
  <c r="G25" i="2"/>
  <c r="K31" i="2"/>
  <c r="K24" i="2"/>
  <c r="K62" i="2" s="1"/>
  <c r="F31" i="2"/>
  <c r="F24" i="2"/>
  <c r="J31" i="2"/>
  <c r="J24" i="2"/>
  <c r="M30" i="2"/>
  <c r="M25" i="2"/>
  <c r="I31" i="2"/>
  <c r="I24" i="2"/>
  <c r="L59" i="2" s="1"/>
  <c r="L60" i="2" s="1"/>
  <c r="AG28" i="2" l="1"/>
  <c r="AG19" i="2"/>
  <c r="AH33" i="2"/>
  <c r="AH20" i="2"/>
  <c r="AH29" i="2" s="1"/>
  <c r="AH17" i="2"/>
  <c r="AH18" i="2" s="1"/>
  <c r="AD25" i="2"/>
  <c r="AE22" i="2"/>
  <c r="AE23" i="2" s="1"/>
  <c r="R30" i="2"/>
  <c r="R25" i="2"/>
  <c r="S30" i="2"/>
  <c r="S25" i="2"/>
  <c r="T30" i="2"/>
  <c r="T25" i="2"/>
  <c r="U30" i="2"/>
  <c r="U25" i="2"/>
  <c r="V30" i="2"/>
  <c r="V25" i="2"/>
  <c r="W30" i="2"/>
  <c r="W25" i="2"/>
  <c r="AA59" i="2"/>
  <c r="AA60" i="2" s="1"/>
  <c r="AA30" i="2"/>
  <c r="AA25" i="2"/>
  <c r="I59" i="2"/>
  <c r="I60" i="2" s="1"/>
  <c r="K59" i="2"/>
  <c r="K60" i="2" s="1"/>
  <c r="J62" i="2"/>
  <c r="M59" i="2"/>
  <c r="M60" i="2" s="1"/>
  <c r="J59" i="2"/>
  <c r="J60" i="2" s="1"/>
  <c r="AB30" i="2"/>
  <c r="AB62" i="2"/>
  <c r="AB59" i="2"/>
  <c r="AB60" i="2" s="1"/>
  <c r="AB25" i="2"/>
  <c r="X30" i="2"/>
  <c r="X25" i="2"/>
  <c r="Y30" i="2"/>
  <c r="Y25" i="2"/>
  <c r="H30" i="2"/>
  <c r="H25" i="2"/>
  <c r="L30" i="2"/>
  <c r="L25" i="2"/>
  <c r="K30" i="2"/>
  <c r="K25" i="2"/>
  <c r="F30" i="2"/>
  <c r="F25" i="2"/>
  <c r="J30" i="2"/>
  <c r="J25" i="2"/>
  <c r="I30" i="2"/>
  <c r="I25" i="2"/>
  <c r="AH28" i="2" l="1"/>
  <c r="AH19" i="2"/>
  <c r="AE24" i="2"/>
  <c r="AE31" i="2"/>
  <c r="AI33" i="2"/>
  <c r="AI20" i="2"/>
  <c r="AI29" i="2" s="1"/>
  <c r="AI17" i="2"/>
  <c r="AI18" i="2" s="1"/>
  <c r="AE35" i="2"/>
  <c r="AF21" i="2" s="1"/>
  <c r="AI28" i="2" l="1"/>
  <c r="AI19" i="2"/>
  <c r="AJ33" i="2"/>
  <c r="AJ20" i="2"/>
  <c r="AJ29" i="2" s="1"/>
  <c r="AJ17" i="2"/>
  <c r="AJ18" i="2" s="1"/>
  <c r="AE25" i="2"/>
  <c r="AF22" i="2"/>
  <c r="AJ28" i="2" l="1"/>
  <c r="AJ19" i="2"/>
  <c r="AK33" i="2"/>
  <c r="AK20" i="2"/>
  <c r="AK29" i="2" s="1"/>
  <c r="AK17" i="2"/>
  <c r="AK18" i="2" s="1"/>
  <c r="AF23" i="2"/>
  <c r="AK28" i="2" l="1"/>
  <c r="AK19" i="2"/>
  <c r="AL33" i="2"/>
  <c r="AL17" i="2"/>
  <c r="AL18" i="2" s="1"/>
  <c r="AL20" i="2"/>
  <c r="AL29" i="2" s="1"/>
  <c r="AF24" i="2"/>
  <c r="AF31" i="2"/>
  <c r="AF35" i="2"/>
  <c r="AG21" i="2" s="1"/>
  <c r="AL28" i="2" l="1"/>
  <c r="AL19" i="2"/>
  <c r="AF25" i="2"/>
  <c r="AG22" i="2"/>
  <c r="AG23" i="2" l="1"/>
  <c r="AG24" i="2" l="1"/>
  <c r="AG31" i="2"/>
  <c r="AG25" i="2"/>
  <c r="AG35" i="2"/>
  <c r="AH21" i="2" s="1"/>
  <c r="AH22" i="2" l="1"/>
  <c r="AH23" i="2" s="1"/>
  <c r="AH24" i="2" l="1"/>
  <c r="AH31" i="2"/>
  <c r="AH25" i="2" l="1"/>
  <c r="AH35" i="2"/>
  <c r="AI21" i="2" s="1"/>
  <c r="AI22" i="2" s="1"/>
  <c r="AI23" i="2" s="1"/>
  <c r="AI24" i="2" l="1"/>
  <c r="AI31" i="2"/>
  <c r="AI25" i="2" l="1"/>
  <c r="AI35" i="2"/>
  <c r="AJ21" i="2" s="1"/>
  <c r="AJ22" i="2" s="1"/>
  <c r="AJ23" i="2" s="1"/>
  <c r="AJ24" i="2" l="1"/>
  <c r="AJ25" i="2" s="1"/>
  <c r="AJ31" i="2"/>
  <c r="AJ35" i="2" l="1"/>
  <c r="AK21" i="2" s="1"/>
  <c r="AK22" i="2"/>
  <c r="AK23" i="2" l="1"/>
  <c r="AK24" i="2" l="1"/>
  <c r="AK25" i="2" s="1"/>
  <c r="AK31" i="2"/>
  <c r="AK35" i="2" l="1"/>
  <c r="AL21" i="2" s="1"/>
  <c r="AL22" i="2"/>
  <c r="AL23" i="2" s="1"/>
  <c r="AL24" i="2" l="1"/>
  <c r="AL31" i="2"/>
  <c r="AL25" i="2" l="1"/>
  <c r="AM24" i="2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AO30" i="2" s="1"/>
  <c r="AO31" i="2" s="1"/>
  <c r="AO32" i="2" s="1"/>
  <c r="AL35" i="2"/>
</calcChain>
</file>

<file path=xl/sharedStrings.xml><?xml version="1.0" encoding="utf-8"?>
<sst xmlns="http://schemas.openxmlformats.org/spreadsheetml/2006/main" count="134" uniqueCount="116">
  <si>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</si>
  <si>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</si>
  <si>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</si>
  <si>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</si>
  <si>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</si>
  <si>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</si>
  <si>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</si>
  <si>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</si>
  <si>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</si>
  <si>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</si>
  <si>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</si>
  <si>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</si>
  <si>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</si>
  <si>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</si>
  <si>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</si>
  <si>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</si>
  <si>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Price</t>
  </si>
  <si>
    <t>MC</t>
  </si>
  <si>
    <t>Cash</t>
  </si>
  <si>
    <t>Debt</t>
  </si>
  <si>
    <t>EV</t>
  </si>
  <si>
    <t>Guidance:</t>
  </si>
  <si>
    <t>Rev</t>
  </si>
  <si>
    <t>Adjusted OpIn</t>
  </si>
  <si>
    <t>FY26</t>
  </si>
  <si>
    <t>FQ126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</si>
  <si>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</si>
  <si>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</si>
  <si>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</si>
  <si>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</si>
  <si>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</si>
  <si>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</si>
  <si>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</si>
  <si>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</si>
  <si>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</si>
  <si>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</si>
  <si>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</si>
  <si>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</si>
  <si>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FQ226</t>
  </si>
  <si>
    <t>Net sales</t>
  </si>
  <si>
    <t>Membership &amp; other</t>
  </si>
  <si>
    <t>Net cash</t>
  </si>
  <si>
    <t>AR</t>
  </si>
  <si>
    <t>Inventories</t>
  </si>
  <si>
    <t>Prepaid</t>
  </si>
  <si>
    <t>PP&amp;E</t>
  </si>
  <si>
    <t>Goodwill</t>
  </si>
  <si>
    <t>Other</t>
  </si>
  <si>
    <t>Assets</t>
  </si>
  <si>
    <t>AP</t>
  </si>
  <si>
    <t>Accrued</t>
  </si>
  <si>
    <t>Accrued taxes</t>
  </si>
  <si>
    <t>DT</t>
  </si>
  <si>
    <t>Liabilties</t>
  </si>
  <si>
    <t>S/E</t>
  </si>
  <si>
    <t>L+S/E</t>
  </si>
  <si>
    <t>Stores U.S.</t>
  </si>
  <si>
    <t>Stores International</t>
  </si>
  <si>
    <t>Total stores</t>
  </si>
  <si>
    <t>Avg sales per store U.S.</t>
  </si>
  <si>
    <t>Avg sales per square U.S.</t>
  </si>
  <si>
    <t>Net sales U.S.</t>
  </si>
  <si>
    <t>Square footage U.S.</t>
  </si>
  <si>
    <t>Revenue E-commerce???</t>
  </si>
  <si>
    <t>Property tax???</t>
  </si>
  <si>
    <t>Finance lease</t>
  </si>
  <si>
    <t>Operating lease</t>
  </si>
  <si>
    <t>NCI</t>
  </si>
  <si>
    <t>NI TTM</t>
  </si>
  <si>
    <t>ROTA</t>
  </si>
  <si>
    <t>Model NI</t>
  </si>
  <si>
    <t>Reported NI</t>
  </si>
  <si>
    <t>D&amp;A</t>
  </si>
  <si>
    <t>Investments</t>
  </si>
  <si>
    <t>WC</t>
  </si>
  <si>
    <t>CFFO</t>
  </si>
  <si>
    <t>CapEx</t>
  </si>
  <si>
    <t>Strategic</t>
  </si>
  <si>
    <t>Acquisition</t>
  </si>
  <si>
    <t>CFFI</t>
  </si>
  <si>
    <t>Dividends</t>
  </si>
  <si>
    <t>Buybacks</t>
  </si>
  <si>
    <t>Dividends NCI</t>
  </si>
  <si>
    <t>Subsidiary sale</t>
  </si>
  <si>
    <t>Purchase NCI</t>
  </si>
  <si>
    <t>CFFF</t>
  </si>
  <si>
    <t>FX</t>
  </si>
  <si>
    <t>CIC</t>
  </si>
  <si>
    <t>FCF</t>
  </si>
  <si>
    <t>TTM FCF</t>
  </si>
  <si>
    <t>Dividends payable</t>
  </si>
  <si>
    <t>FY25</t>
  </si>
  <si>
    <t>FY24</t>
  </si>
  <si>
    <t>FY23</t>
  </si>
  <si>
    <t>FY22</t>
  </si>
  <si>
    <t>FY21</t>
  </si>
  <si>
    <t>FY14</t>
  </si>
  <si>
    <t>FY15</t>
  </si>
  <si>
    <t>FY16</t>
  </si>
  <si>
    <t>FY17</t>
  </si>
  <si>
    <t>FY18</t>
  </si>
  <si>
    <t>FY19</t>
  </si>
  <si>
    <t>FY20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</si>
  <si>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</si>
  <si>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</si>
  <si>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</si>
  <si>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</si>
  <si>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</si>
  <si>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</si>
  <si>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</si>
  <si>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</si>
  <si>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</si>
  <si>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Discount</t>
  </si>
  <si>
    <t>Terminal</t>
  </si>
  <si>
    <t>NPV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</si>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</sst>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0.0%"/>
    <numFmt numFmtId="168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8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/>
    <xf numFmtId="9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3" fontId="0" fillId="0" borderId="0" xfId="0" quotePrefix="1" applyNumberFormat="1"/>
    <xf numFmtId="0" fontId="0" fillId="0" borderId="0" xfId="0" applyAlignment="1">
      <alignment horizontal="right"/>
    </xf>
    <xf numFmtId="3" fontId="0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19050</xdr:rowOff>
    </xdr:from>
    <xdr:to>
      <xdr:col>13</xdr:col>
      <xdr:colOff>19050</xdr:colOff>
      <xdr:row>90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63D35DA-AA3C-BA2F-100B-FE2BF168F34C}"/>
            </a:ext>
          </a:extLst>
        </xdr:cNvPr>
        <xdr:cNvCxnSpPr/>
      </xdr:nvCxnSpPr>
      <xdr:spPr>
        <a:xfrm>
          <a:off x="13725525" y="19050"/>
          <a:ext cx="0" cy="145065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22999</xdr:colOff>
      <xdr:row>0</xdr:row>
      <xdr:rowOff>0</xdr:rowOff>
    </xdr:from>
    <xdr:to>
      <xdr:col>28</xdr:col>
      <xdr:colOff>22999</xdr:colOff>
      <xdr:row>97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770CF57-FA77-4A6A-A61D-771DAF6063A3}"/>
            </a:ext>
          </a:extLst>
        </xdr:cNvPr>
        <xdr:cNvCxnSpPr/>
      </xdr:nvCxnSpPr>
      <xdr:spPr>
        <a:xfrm>
          <a:off x="17996674" y="0"/>
          <a:ext cx="0" cy="158115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9A6E-F649-4BE1-A6A6-F08E5D40D6BC}">
  <dimension ref="B2:M13"/>
  <sheetViews>
    <sheetView workbookViewId="0">
      <selection activeCell="L10" sqref="L10"/>
    </sheetView>
  </sheetViews>
  <sheetFormatPr defaultRowHeight="12.75" x14ac:dyDescent="0.2"/>
  <cols>
    <col min="1" max="1" width="4" customWidth="1"/>
    <col min="2" max="2" width="10.42578125" customWidth="1"/>
  </cols>
  <sheetData>
    <row r="2" spans="2:13" x14ac:dyDescent="0.2">
      <c r="B2" s="7" t="s">
        <v>21</v>
      </c>
      <c r="C2" t="s">
        <v>25</v>
      </c>
    </row>
    <row r="3" spans="2:13" x14ac:dyDescent="0.2">
      <c r="B3" t="s">
        <v>22</v>
      </c>
      <c r="D3" s="1">
        <v>159900</v>
      </c>
      <c r="K3" t="s">
        <v>16</v>
      </c>
      <c r="L3">
        <v>85</v>
      </c>
    </row>
    <row r="4" spans="2:13" x14ac:dyDescent="0.2">
      <c r="B4" t="s">
        <v>23</v>
      </c>
      <c r="D4" s="1">
        <v>7100</v>
      </c>
      <c r="K4" t="s">
        <v>10</v>
      </c>
      <c r="L4" s="1">
        <v>8016.8494440000004</v>
      </c>
      <c r="M4" s="15" t="s">
        <v>37</v>
      </c>
    </row>
    <row r="5" spans="2:13" x14ac:dyDescent="0.2">
      <c r="K5" t="s">
        <v>17</v>
      </c>
      <c r="L5" s="1">
        <f>+L4*L3</f>
        <v>681432.20273999998</v>
      </c>
      <c r="M5" s="15"/>
    </row>
    <row r="6" spans="2:13" x14ac:dyDescent="0.2">
      <c r="C6" t="s">
        <v>24</v>
      </c>
      <c r="K6" t="s">
        <v>18</v>
      </c>
      <c r="L6" s="1">
        <f>+Model!M36</f>
        <v>9037</v>
      </c>
      <c r="M6" s="15" t="s">
        <v>37</v>
      </c>
    </row>
    <row r="7" spans="2:13" x14ac:dyDescent="0.2">
      <c r="B7" t="s">
        <v>22</v>
      </c>
      <c r="D7" s="1">
        <v>674500</v>
      </c>
      <c r="K7" t="s">
        <v>19</v>
      </c>
      <c r="L7" s="1">
        <f>+Model!M46</f>
        <v>39067</v>
      </c>
      <c r="M7" s="15" t="s">
        <v>37</v>
      </c>
    </row>
    <row r="8" spans="2:13" x14ac:dyDescent="0.2">
      <c r="B8" t="s">
        <v>23</v>
      </c>
      <c r="D8" s="1">
        <v>29500</v>
      </c>
      <c r="K8" t="s">
        <v>20</v>
      </c>
      <c r="L8" s="1">
        <f>+L5-L6+L7</f>
        <v>711462.20273999998</v>
      </c>
    </row>
    <row r="9" spans="2:13" x14ac:dyDescent="0.2">
      <c r="L9" s="1">
        <v>20951</v>
      </c>
    </row>
    <row r="10" spans="2:13" x14ac:dyDescent="0.2">
      <c r="B10" t="s">
        <v>63</v>
      </c>
      <c r="L10" s="5">
        <f>+L8/L9</f>
        <v>33.958388751849554</v>
      </c>
    </row>
    <row r="12" spans="2:13" x14ac:dyDescent="0.2">
      <c r="B12" t="s">
        <v>64</v>
      </c>
    </row>
    <row r="13" spans="2:13" x14ac:dyDescent="0.2">
      <c r="L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4AEA-69E7-4D5B-A401-6A6F72E5472F}">
  <dimension ref="A1:EI89"/>
  <sheetViews>
    <sheetView tabSelected="1" zoomScaleNormal="100" workbookViewId="0">
      <pane xSplit="1" ySplit="2" topLeftCell="E36" activePane="bottomRight" state="frozen"/>
      <selection pane="topRight" activeCell="B1" sqref="B1"/>
      <selection pane="bottomLeft" activeCell="A3" sqref="A3"/>
      <selection pane="bottomRight" activeCell="G54" sqref="G54"/>
    </sheetView>
  </sheetViews>
  <sheetFormatPr defaultRowHeight="12.75" x14ac:dyDescent="0.2"/>
  <cols>
    <col min="1" max="1" width="22.7109375" style="1" bestFit="1" customWidth="1"/>
    <col min="2" max="40" width="9.140625" style="1"/>
    <col min="41" max="41" width="11.7109375" style="1" bestFit="1" customWidth="1"/>
    <col min="42" max="16384" width="9.140625" style="1"/>
  </cols>
  <sheetData>
    <row r="1" spans="1:38" s="8" customFormat="1" x14ac:dyDescent="0.2">
      <c r="B1" s="8">
        <v>44681</v>
      </c>
      <c r="C1" s="8">
        <v>44773</v>
      </c>
      <c r="D1" s="8">
        <v>44865</v>
      </c>
      <c r="E1" s="8">
        <v>44957</v>
      </c>
      <c r="F1" s="8">
        <v>45046</v>
      </c>
      <c r="G1" s="8">
        <v>45138</v>
      </c>
      <c r="H1" s="8">
        <v>45230</v>
      </c>
      <c r="I1" s="8">
        <v>45322</v>
      </c>
      <c r="J1" s="8">
        <v>45412</v>
      </c>
      <c r="K1" s="8">
        <v>45504</v>
      </c>
      <c r="L1" s="8">
        <v>45596</v>
      </c>
      <c r="M1" s="8">
        <v>45688</v>
      </c>
      <c r="Q1" s="8">
        <v>41670</v>
      </c>
      <c r="R1" s="8">
        <v>42035</v>
      </c>
      <c r="S1" s="8">
        <v>42400</v>
      </c>
      <c r="T1" s="8">
        <v>42766</v>
      </c>
      <c r="U1" s="8">
        <v>43131</v>
      </c>
      <c r="V1" s="8">
        <v>43496</v>
      </c>
      <c r="W1" s="8">
        <v>43861</v>
      </c>
      <c r="X1" s="8">
        <v>44227</v>
      </c>
      <c r="Y1" s="8">
        <v>44592</v>
      </c>
      <c r="Z1" s="8">
        <v>44957</v>
      </c>
      <c r="AA1" s="8">
        <v>45322</v>
      </c>
      <c r="AB1" s="8">
        <v>45688</v>
      </c>
    </row>
    <row r="2" spans="1:38" x14ac:dyDescent="0.2">
      <c r="A2" s="2"/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25</v>
      </c>
      <c r="O2" s="2" t="s">
        <v>38</v>
      </c>
      <c r="Q2" s="15" t="s">
        <v>96</v>
      </c>
      <c r="R2" s="15" t="s">
        <v>97</v>
      </c>
      <c r="S2" s="15" t="s">
        <v>98</v>
      </c>
      <c r="T2" s="15" t="s">
        <v>99</v>
      </c>
      <c r="U2" s="15" t="s">
        <v>100</v>
      </c>
      <c r="V2" s="15" t="s">
        <v>101</v>
      </c>
      <c r="W2" s="15" t="s">
        <v>102</v>
      </c>
      <c r="X2" s="15" t="s">
        <v>95</v>
      </c>
      <c r="Y2" s="15" t="s">
        <v>94</v>
      </c>
      <c r="Z2" s="15" t="s">
        <v>93</v>
      </c>
      <c r="AA2" s="15" t="s">
        <v>92</v>
      </c>
      <c r="AB2" s="15" t="s">
        <v>91</v>
      </c>
      <c r="AC2" s="15" t="s">
        <v>24</v>
      </c>
      <c r="AD2" s="15" t="s">
        <v>103</v>
      </c>
      <c r="AE2" s="15" t="s">
        <v>104</v>
      </c>
      <c r="AF2" s="15" t="s">
        <v>105</v>
      </c>
      <c r="AG2" s="15" t="s">
        <v>106</v>
      </c>
      <c r="AH2" s="15" t="s">
        <v>107</v>
      </c>
      <c r="AI2" s="15" t="s">
        <v>108</v>
      </c>
      <c r="AJ2" s="15" t="s">
        <v>109</v>
      </c>
      <c r="AK2" s="15" t="s">
        <v>110</v>
      </c>
      <c r="AL2" s="15" t="s">
        <v>111</v>
      </c>
    </row>
    <row r="3" spans="1:38" x14ac:dyDescent="0.2">
      <c r="A3" s="9" t="s">
        <v>56</v>
      </c>
      <c r="B3" s="2">
        <v>5335</v>
      </c>
      <c r="C3" s="2">
        <v>5335</v>
      </c>
      <c r="D3" s="2">
        <v>5320</v>
      </c>
      <c r="E3" s="2">
        <v>5317</v>
      </c>
      <c r="F3" s="2">
        <v>5283</v>
      </c>
      <c r="G3" s="2">
        <v>5215</v>
      </c>
      <c r="H3" s="2">
        <v>5215</v>
      </c>
      <c r="I3" s="2">
        <v>5214</v>
      </c>
      <c r="J3" s="2">
        <v>5208</v>
      </c>
      <c r="K3" s="2">
        <v>5205</v>
      </c>
      <c r="L3" s="2">
        <v>5206</v>
      </c>
      <c r="M3" s="2">
        <v>5205</v>
      </c>
      <c r="N3" s="2"/>
      <c r="O3" s="2"/>
      <c r="Q3" s="1">
        <v>4835</v>
      </c>
      <c r="R3" s="1">
        <v>5163</v>
      </c>
      <c r="S3" s="1">
        <v>5229</v>
      </c>
      <c r="T3" s="1">
        <v>5332</v>
      </c>
      <c r="U3" s="1">
        <v>5358</v>
      </c>
      <c r="V3" s="1">
        <v>5368</v>
      </c>
      <c r="W3" s="1">
        <v>5355</v>
      </c>
      <c r="X3" s="1">
        <v>5342</v>
      </c>
      <c r="Y3" s="1">
        <v>5342</v>
      </c>
      <c r="Z3" s="1">
        <f>+E3</f>
        <v>5317</v>
      </c>
      <c r="AA3" s="1">
        <f>+I3</f>
        <v>5214</v>
      </c>
      <c r="AB3" s="1">
        <f>+M3</f>
        <v>5205</v>
      </c>
    </row>
    <row r="4" spans="1:38" x14ac:dyDescent="0.2">
      <c r="A4" s="9" t="s">
        <v>57</v>
      </c>
      <c r="B4" s="2">
        <v>5250</v>
      </c>
      <c r="C4" s="2">
        <v>5250</v>
      </c>
      <c r="D4" s="2">
        <v>5266</v>
      </c>
      <c r="E4" s="2">
        <v>5306</v>
      </c>
      <c r="F4" s="2">
        <v>5262</v>
      </c>
      <c r="G4" s="2">
        <v>5267</v>
      </c>
      <c r="H4" s="2">
        <v>5294</v>
      </c>
      <c r="I4" s="2">
        <v>5402</v>
      </c>
      <c r="J4" s="2">
        <v>5399</v>
      </c>
      <c r="K4" s="2">
        <v>5414</v>
      </c>
      <c r="L4" s="2">
        <v>5454</v>
      </c>
      <c r="M4" s="2">
        <v>5566</v>
      </c>
      <c r="N4" s="2"/>
      <c r="O4" s="2"/>
      <c r="Q4" s="1">
        <v>6107</v>
      </c>
      <c r="R4" s="1">
        <v>6290</v>
      </c>
      <c r="S4" s="1">
        <v>6299</v>
      </c>
      <c r="T4" s="1">
        <v>6363</v>
      </c>
      <c r="U4" s="1">
        <v>6360</v>
      </c>
      <c r="V4" s="1">
        <v>5993</v>
      </c>
      <c r="W4" s="1">
        <v>6146</v>
      </c>
      <c r="X4" s="1">
        <v>6101</v>
      </c>
      <c r="Y4" s="1">
        <v>5251</v>
      </c>
      <c r="Z4" s="1">
        <f>+E4</f>
        <v>5306</v>
      </c>
      <c r="AA4" s="1">
        <f>+I4</f>
        <v>5402</v>
      </c>
      <c r="AB4" s="1">
        <f>+M4</f>
        <v>5566</v>
      </c>
    </row>
    <row r="5" spans="1:38" x14ac:dyDescent="0.2">
      <c r="A5" s="9" t="s">
        <v>58</v>
      </c>
      <c r="B5" s="2">
        <f t="shared" ref="B5:E5" si="0">+B3+B4</f>
        <v>10585</v>
      </c>
      <c r="C5" s="2">
        <f t="shared" si="0"/>
        <v>10585</v>
      </c>
      <c r="D5" s="2">
        <f t="shared" si="0"/>
        <v>10586</v>
      </c>
      <c r="E5" s="2">
        <f t="shared" si="0"/>
        <v>10623</v>
      </c>
      <c r="F5" s="2">
        <f>+F3+F4</f>
        <v>10545</v>
      </c>
      <c r="G5" s="2">
        <f>+G3+G4</f>
        <v>10482</v>
      </c>
      <c r="H5" s="2">
        <f>+H3+H4</f>
        <v>10509</v>
      </c>
      <c r="I5" s="2">
        <f>+I3+I4</f>
        <v>10616</v>
      </c>
      <c r="J5" s="2">
        <f>+J3+J4</f>
        <v>10607</v>
      </c>
      <c r="K5" s="2">
        <f>+K3+K4</f>
        <v>10619</v>
      </c>
      <c r="L5" s="2">
        <f>+L3+L4</f>
        <v>10660</v>
      </c>
      <c r="M5" s="2">
        <f>+M3+M4</f>
        <v>10771</v>
      </c>
      <c r="N5" s="2"/>
      <c r="O5" s="2"/>
      <c r="Q5" s="1">
        <f t="shared" ref="Q5:Y5" si="1">+Q4+Q3</f>
        <v>10942</v>
      </c>
      <c r="R5" s="1">
        <f t="shared" si="1"/>
        <v>11453</v>
      </c>
      <c r="S5" s="1">
        <f t="shared" si="1"/>
        <v>11528</v>
      </c>
      <c r="T5" s="1">
        <f t="shared" si="1"/>
        <v>11695</v>
      </c>
      <c r="U5" s="1">
        <f t="shared" si="1"/>
        <v>11718</v>
      </c>
      <c r="V5" s="1">
        <f t="shared" si="1"/>
        <v>11361</v>
      </c>
      <c r="W5" s="1">
        <f t="shared" si="1"/>
        <v>11501</v>
      </c>
      <c r="X5" s="1">
        <f t="shared" si="1"/>
        <v>11443</v>
      </c>
      <c r="Y5" s="1">
        <f t="shared" si="1"/>
        <v>10593</v>
      </c>
      <c r="Z5" s="1">
        <f>+Z4+Z3</f>
        <v>10623</v>
      </c>
      <c r="AA5" s="1">
        <f>+AA4+AA3</f>
        <v>10616</v>
      </c>
      <c r="AB5" s="1">
        <f>+AB4+AB3</f>
        <v>10771</v>
      </c>
      <c r="AC5"/>
      <c r="AD5"/>
      <c r="AE5"/>
      <c r="AF5"/>
      <c r="AG5"/>
      <c r="AH5"/>
      <c r="AI5"/>
      <c r="AJ5"/>
      <c r="AK5"/>
    </row>
    <row r="6" spans="1:38" x14ac:dyDescent="0.2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8" x14ac:dyDescent="0.2">
      <c r="A7" s="9" t="s">
        <v>62</v>
      </c>
      <c r="B7" s="2">
        <v>782.681332</v>
      </c>
      <c r="C7" s="2">
        <v>782.73385499999995</v>
      </c>
      <c r="D7" s="2">
        <v>782.15884500000004</v>
      </c>
      <c r="E7" s="2">
        <v>782.07581800000003</v>
      </c>
      <c r="F7" s="2">
        <v>779.56993299999999</v>
      </c>
      <c r="G7" s="2">
        <v>779.31525699999997</v>
      </c>
      <c r="H7" s="2">
        <v>779.31525699999997</v>
      </c>
      <c r="I7" s="2">
        <v>779.20009500000003</v>
      </c>
      <c r="J7" s="2">
        <v>778.54559200000006</v>
      </c>
      <c r="K7" s="2">
        <v>778.12353199999995</v>
      </c>
      <c r="L7" s="2">
        <v>778.34123999999997</v>
      </c>
      <c r="M7" s="2">
        <v>778.30012299999999</v>
      </c>
      <c r="N7" s="2"/>
      <c r="O7" s="2"/>
      <c r="Q7" s="1">
        <v>743.51456900000005</v>
      </c>
      <c r="R7" s="1">
        <v>766.62149499999998</v>
      </c>
      <c r="S7" s="1">
        <v>777.19911200000001</v>
      </c>
      <c r="T7" s="1">
        <v>787.66475500000001</v>
      </c>
      <c r="U7" s="1">
        <v>784.58446400000003</v>
      </c>
      <c r="V7" s="1">
        <v>784.96014300000002</v>
      </c>
      <c r="W7" s="1">
        <v>783.556104</v>
      </c>
      <c r="X7" s="1">
        <v>783.27068899999995</v>
      </c>
      <c r="Y7" s="1">
        <v>783.347399</v>
      </c>
      <c r="Z7" s="1">
        <f>+E7</f>
        <v>782.07581800000003</v>
      </c>
      <c r="AA7" s="1">
        <f>+I7</f>
        <v>779.20009500000003</v>
      </c>
      <c r="AB7" s="1">
        <f>+M7</f>
        <v>778.30012299999999</v>
      </c>
    </row>
    <row r="8" spans="1:38" x14ac:dyDescent="0.2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8" x14ac:dyDescent="0.2">
      <c r="A9" s="9" t="s">
        <v>59</v>
      </c>
      <c r="B9" s="2">
        <f t="shared" ref="B9:E9" si="2">+B12/B3</f>
        <v>21.841611996251171</v>
      </c>
      <c r="C9" s="2">
        <f t="shared" si="2"/>
        <v>23.810871602624179</v>
      </c>
      <c r="D9" s="2">
        <f t="shared" si="2"/>
        <v>23.716917293233081</v>
      </c>
      <c r="E9" s="2">
        <f t="shared" si="2"/>
        <v>25.421854429189391</v>
      </c>
      <c r="F9" s="2">
        <f>+F12/F3</f>
        <v>23.54722695438198</v>
      </c>
      <c r="G9" s="2">
        <f>+G12/G3</f>
        <v>25.442761265580057</v>
      </c>
      <c r="H9" s="2">
        <f>+H12/H3</f>
        <v>25.19980824544583</v>
      </c>
      <c r="I9" s="2">
        <f>+I12/I3</f>
        <v>26.754890678941312</v>
      </c>
      <c r="J9" s="2">
        <f>+J12/J3</f>
        <v>24.981758832565284</v>
      </c>
      <c r="K9" s="2">
        <f>+K12/K3</f>
        <v>26.551392891450529</v>
      </c>
      <c r="L9" s="2">
        <f>+L12/L3</f>
        <v>26.455243949289283</v>
      </c>
      <c r="M9" s="2">
        <f>+M12/M3</f>
        <v>28.169452449567725</v>
      </c>
      <c r="N9" s="2"/>
      <c r="O9" s="2"/>
      <c r="Q9" s="2">
        <f t="shared" ref="Q9:Y9" si="3">+Q12/Q3</f>
        <v>69.609720785935878</v>
      </c>
      <c r="R9" s="2">
        <f t="shared" si="3"/>
        <v>67.028665504551611</v>
      </c>
      <c r="S9" s="2">
        <f t="shared" si="3"/>
        <v>67.930005737234652</v>
      </c>
      <c r="T9" s="2">
        <f t="shared" si="3"/>
        <v>68.49174793698424</v>
      </c>
      <c r="U9" s="2">
        <f t="shared" si="3"/>
        <v>70.492721164613656</v>
      </c>
      <c r="V9" s="2">
        <f t="shared" si="3"/>
        <v>72.55961251862891</v>
      </c>
      <c r="W9" s="2">
        <f t="shared" si="3"/>
        <v>74.658450046685346</v>
      </c>
      <c r="X9" s="2">
        <f t="shared" si="3"/>
        <v>81.219206289779109</v>
      </c>
      <c r="Y9" s="2">
        <f t="shared" si="3"/>
        <v>87.383564208161744</v>
      </c>
      <c r="Z9" s="2">
        <f>+Z12/Z3</f>
        <v>94.959187511754749</v>
      </c>
      <c r="AA9" s="2">
        <f>+AA12/AA3</f>
        <v>101.26601457614116</v>
      </c>
      <c r="AB9" s="2">
        <f>+AB12/AB3</f>
        <v>106.17732949087416</v>
      </c>
      <c r="AC9"/>
      <c r="AD9"/>
      <c r="AE9"/>
      <c r="AF9"/>
      <c r="AG9"/>
      <c r="AH9"/>
      <c r="AI9"/>
      <c r="AJ9"/>
      <c r="AK9"/>
    </row>
    <row r="10" spans="1:38" s="4" customFormat="1" x14ac:dyDescent="0.2">
      <c r="A10" s="13" t="s">
        <v>60</v>
      </c>
      <c r="B10" s="12">
        <f t="shared" ref="B10:E10" si="4">+B12/B7</f>
        <v>148.87923761033309</v>
      </c>
      <c r="C10" s="12">
        <f t="shared" si="4"/>
        <v>162.29143429601623</v>
      </c>
      <c r="D10" s="12">
        <f t="shared" si="4"/>
        <v>161.31505870779995</v>
      </c>
      <c r="E10" s="12">
        <f t="shared" si="4"/>
        <v>172.83234807804786</v>
      </c>
      <c r="F10" s="12">
        <f>+F12/F7</f>
        <v>159.57516411808561</v>
      </c>
      <c r="G10" s="12">
        <f>+G12/G7</f>
        <v>170.25715691846131</v>
      </c>
      <c r="H10" s="12">
        <f>+H12/H7</f>
        <v>168.6313707059889</v>
      </c>
      <c r="I10" s="12">
        <f>+I12/I7</f>
        <v>179.02975230001735</v>
      </c>
      <c r="J10" s="12">
        <f>+J12/J7</f>
        <v>167.11288502163916</v>
      </c>
      <c r="K10" s="12">
        <f>+K12/K7</f>
        <v>177.60676077330098</v>
      </c>
      <c r="L10" s="12">
        <f>+L12/L7</f>
        <v>176.94809541378021</v>
      </c>
      <c r="M10" s="12">
        <f>+M12/M7</f>
        <v>188.3874814703068</v>
      </c>
      <c r="N10" s="12"/>
      <c r="O10" s="12"/>
      <c r="Q10" s="12">
        <f t="shared" ref="Q10:Y10" si="5">+Q12/Q7</f>
        <v>452.66496990457756</v>
      </c>
      <c r="R10" s="12">
        <f t="shared" si="5"/>
        <v>451.42094535191711</v>
      </c>
      <c r="S10" s="12">
        <f t="shared" si="5"/>
        <v>457.03346094404696</v>
      </c>
      <c r="T10" s="12">
        <f t="shared" si="5"/>
        <v>463.64649132993134</v>
      </c>
      <c r="U10" s="12">
        <f t="shared" si="5"/>
        <v>481.40132430662044</v>
      </c>
      <c r="V10" s="12">
        <f t="shared" si="5"/>
        <v>496.20353781453076</v>
      </c>
      <c r="W10" s="12">
        <f t="shared" si="5"/>
        <v>510.23276822051275</v>
      </c>
      <c r="X10" s="12">
        <f t="shared" si="5"/>
        <v>553.92472371706481</v>
      </c>
      <c r="Y10" s="12">
        <f t="shared" si="5"/>
        <v>595.90802317835994</v>
      </c>
      <c r="Z10" s="12">
        <f>+Z12/Z7</f>
        <v>645.58702414706295</v>
      </c>
      <c r="AA10" s="12">
        <f>+AA12/AA7</f>
        <v>677.61927056746572</v>
      </c>
      <c r="AB10" s="12">
        <f>+AB12/AB7</f>
        <v>710.07697887772269</v>
      </c>
    </row>
    <row r="11" spans="1:38" x14ac:dyDescent="0.2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8" x14ac:dyDescent="0.2">
      <c r="A12" s="9" t="s">
        <v>61</v>
      </c>
      <c r="B12" s="2">
        <f>96904+19621</f>
        <v>116525</v>
      </c>
      <c r="C12" s="2">
        <f>105130+21901</f>
        <v>127031</v>
      </c>
      <c r="D12" s="2">
        <f>104775+21399</f>
        <v>126174</v>
      </c>
      <c r="E12" s="2">
        <f>113744+21424</f>
        <v>135168</v>
      </c>
      <c r="F12" s="2">
        <f>103901+20499</f>
        <v>124400</v>
      </c>
      <c r="G12" s="2">
        <f>110854+21830</f>
        <v>132684</v>
      </c>
      <c r="H12" s="2">
        <f>109419+21998</f>
        <v>131417</v>
      </c>
      <c r="I12" s="2">
        <f>117600+21900</f>
        <v>139500</v>
      </c>
      <c r="J12" s="2">
        <f>108670+21435</f>
        <v>130105</v>
      </c>
      <c r="K12" s="2">
        <f>115347+22853</f>
        <v>138200</v>
      </c>
      <c r="L12" s="2">
        <f>114875+22851</f>
        <v>137726</v>
      </c>
      <c r="M12" s="2">
        <f>123523+23099</f>
        <v>146622</v>
      </c>
      <c r="N12" s="2"/>
      <c r="O12" s="2"/>
      <c r="Q12" s="1">
        <f>279406+57157</f>
        <v>336563</v>
      </c>
      <c r="R12" s="1">
        <f>288049+58020</f>
        <v>346069</v>
      </c>
      <c r="S12" s="1">
        <f>298378+56828</f>
        <v>355206</v>
      </c>
      <c r="T12" s="1">
        <f>307833+57365</f>
        <v>365198</v>
      </c>
      <c r="U12" s="1">
        <f>318500+59200</f>
        <v>377700</v>
      </c>
      <c r="V12" s="1">
        <f>331700+57800</f>
        <v>389500</v>
      </c>
      <c r="W12" s="1">
        <f>341004+58792</f>
        <v>399796</v>
      </c>
      <c r="X12" s="1">
        <f>369963+63910</f>
        <v>433873</v>
      </c>
      <c r="Y12" s="1">
        <f>393247+73556</f>
        <v>466803</v>
      </c>
      <c r="Z12" s="1">
        <f>420553+84345</f>
        <v>504898</v>
      </c>
      <c r="AA12" s="1">
        <f>+SUM(F12:I12)</f>
        <v>528001</v>
      </c>
      <c r="AB12" s="1">
        <f>+SUM(J12:M12)</f>
        <v>552653</v>
      </c>
    </row>
    <row r="13" spans="1:38" x14ac:dyDescent="0.2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8" x14ac:dyDescent="0.2">
      <c r="A14" s="9" t="s">
        <v>39</v>
      </c>
      <c r="B14" s="1">
        <v>140288</v>
      </c>
      <c r="C14" s="1">
        <v>151381</v>
      </c>
      <c r="D14" s="1">
        <v>151469</v>
      </c>
      <c r="E14" s="1">
        <v>151469</v>
      </c>
      <c r="F14" s="1">
        <v>151004</v>
      </c>
      <c r="G14" s="1">
        <v>160280</v>
      </c>
      <c r="H14" s="1">
        <v>159439</v>
      </c>
      <c r="I14" s="1">
        <v>171914</v>
      </c>
      <c r="J14" s="1">
        <v>159938</v>
      </c>
      <c r="K14" s="1">
        <v>167767</v>
      </c>
      <c r="L14" s="1">
        <v>168003</v>
      </c>
      <c r="M14" s="1">
        <v>178830</v>
      </c>
      <c r="Q14" s="16">
        <v>473076</v>
      </c>
      <c r="R14" s="16">
        <v>482229</v>
      </c>
      <c r="S14" s="16">
        <v>478614</v>
      </c>
      <c r="T14" s="16">
        <v>481317</v>
      </c>
      <c r="U14" s="16">
        <v>495761</v>
      </c>
      <c r="V14" s="16">
        <v>510329</v>
      </c>
      <c r="W14" s="16">
        <v>519926</v>
      </c>
      <c r="X14" s="16">
        <v>555233</v>
      </c>
      <c r="Y14" s="16">
        <v>567762</v>
      </c>
      <c r="Z14" s="16">
        <f>+SUM(B14:E14)</f>
        <v>594607</v>
      </c>
      <c r="AA14" s="16">
        <f>+SUM(F14:I14)</f>
        <v>642637</v>
      </c>
      <c r="AB14" s="16">
        <f>+SUM(J14:M14)</f>
        <v>674538</v>
      </c>
      <c r="AC14"/>
      <c r="AD14"/>
      <c r="AE14"/>
      <c r="AF14"/>
      <c r="AG14"/>
      <c r="AH14"/>
      <c r="AI14"/>
      <c r="AJ14"/>
      <c r="AK14"/>
    </row>
    <row r="15" spans="1:38" x14ac:dyDescent="0.2">
      <c r="A15" s="9" t="s">
        <v>40</v>
      </c>
      <c r="B15" s="1">
        <v>1281</v>
      </c>
      <c r="C15" s="1">
        <v>1478</v>
      </c>
      <c r="D15" s="1">
        <v>1344</v>
      </c>
      <c r="E15" s="1">
        <v>1344</v>
      </c>
      <c r="F15" s="1">
        <v>1297</v>
      </c>
      <c r="G15" s="1">
        <v>1352</v>
      </c>
      <c r="H15" s="1">
        <v>1365</v>
      </c>
      <c r="I15" s="1">
        <v>1475</v>
      </c>
      <c r="J15" s="1">
        <v>1570</v>
      </c>
      <c r="K15" s="1">
        <v>1568</v>
      </c>
      <c r="L15" s="1">
        <v>1585</v>
      </c>
      <c r="M15" s="1">
        <v>1724</v>
      </c>
      <c r="Q15" s="16">
        <v>3218</v>
      </c>
      <c r="R15" s="16">
        <v>3422</v>
      </c>
      <c r="S15" s="16">
        <v>3516</v>
      </c>
      <c r="T15" s="16">
        <v>4556</v>
      </c>
      <c r="U15" s="16">
        <v>4582</v>
      </c>
      <c r="V15" s="16">
        <v>4076</v>
      </c>
      <c r="W15" s="16">
        <v>4038</v>
      </c>
      <c r="X15" s="16">
        <v>3918</v>
      </c>
      <c r="Y15" s="16">
        <v>4992</v>
      </c>
      <c r="Z15" s="16">
        <f>+SUM(B15:E15)</f>
        <v>5447</v>
      </c>
      <c r="AA15" s="16">
        <f>+SUM(F15:I15)</f>
        <v>5489</v>
      </c>
      <c r="AB15" s="16">
        <f>+SUM(J15:M15)</f>
        <v>6447</v>
      </c>
      <c r="AC15"/>
      <c r="AD15"/>
      <c r="AE15"/>
      <c r="AF15"/>
      <c r="AG15"/>
      <c r="AH15"/>
      <c r="AI15"/>
      <c r="AJ15"/>
      <c r="AK15"/>
    </row>
    <row r="16" spans="1:38" s="10" customFormat="1" x14ac:dyDescent="0.2">
      <c r="A16" s="10" t="s">
        <v>0</v>
      </c>
      <c r="B16" s="10">
        <f>+B14+B15</f>
        <v>141569</v>
      </c>
      <c r="C16" s="10">
        <f>+C14+C15</f>
        <v>152859</v>
      </c>
      <c r="D16" s="10">
        <f>+D14+D15</f>
        <v>152813</v>
      </c>
      <c r="E16" s="10">
        <f>+E14+E15</f>
        <v>152813</v>
      </c>
      <c r="F16" s="10">
        <f>+F14+F15</f>
        <v>152301</v>
      </c>
      <c r="G16" s="10">
        <f>+G14+G15</f>
        <v>161632</v>
      </c>
      <c r="H16" s="10">
        <f>+H14+H15</f>
        <v>160804</v>
      </c>
      <c r="I16" s="10">
        <f>+I14+I15</f>
        <v>173389</v>
      </c>
      <c r="J16" s="10">
        <f>+J14+J15</f>
        <v>161508</v>
      </c>
      <c r="K16" s="10">
        <f>+K14+K15</f>
        <v>169335</v>
      </c>
      <c r="L16" s="10">
        <f>+L14+L15</f>
        <v>169588</v>
      </c>
      <c r="M16" s="10">
        <f>+M14+M15</f>
        <v>180554</v>
      </c>
      <c r="Q16" s="10">
        <f t="shared" ref="Q16:AA16" si="6">+SUM(Q14:Q15)</f>
        <v>476294</v>
      </c>
      <c r="R16" s="10">
        <f t="shared" si="6"/>
        <v>485651</v>
      </c>
      <c r="S16" s="10">
        <f t="shared" si="6"/>
        <v>482130</v>
      </c>
      <c r="T16" s="10">
        <f t="shared" si="6"/>
        <v>485873</v>
      </c>
      <c r="U16" s="10">
        <f t="shared" si="6"/>
        <v>500343</v>
      </c>
      <c r="V16" s="10">
        <f t="shared" si="6"/>
        <v>514405</v>
      </c>
      <c r="W16" s="10">
        <f t="shared" si="6"/>
        <v>523964</v>
      </c>
      <c r="X16" s="10">
        <f t="shared" si="6"/>
        <v>559151</v>
      </c>
      <c r="Y16" s="10">
        <f t="shared" si="6"/>
        <v>572754</v>
      </c>
      <c r="Z16" s="10">
        <f t="shared" si="6"/>
        <v>600054</v>
      </c>
      <c r="AA16" s="10">
        <f t="shared" si="6"/>
        <v>648126</v>
      </c>
      <c r="AB16" s="10">
        <f>+SUM(AB14:AB15)</f>
        <v>680985</v>
      </c>
      <c r="AC16" s="10">
        <f>+AB16*1.03</f>
        <v>701414.55</v>
      </c>
      <c r="AD16" s="10">
        <f t="shared" ref="AD16:AL16" si="7">+AC16*1.03</f>
        <v>722456.98650000012</v>
      </c>
      <c r="AE16" s="10">
        <f t="shared" si="7"/>
        <v>744130.69609500014</v>
      </c>
      <c r="AF16" s="10">
        <f t="shared" si="7"/>
        <v>766454.61697785021</v>
      </c>
      <c r="AG16" s="10">
        <f t="shared" si="7"/>
        <v>789448.25548718579</v>
      </c>
      <c r="AH16" s="10">
        <f t="shared" si="7"/>
        <v>813131.70315180137</v>
      </c>
      <c r="AI16" s="10">
        <f t="shared" si="7"/>
        <v>837525.65424635541</v>
      </c>
      <c r="AJ16" s="10">
        <f t="shared" si="7"/>
        <v>862651.42387374607</v>
      </c>
      <c r="AK16" s="10">
        <f t="shared" si="7"/>
        <v>888530.96658995852</v>
      </c>
      <c r="AL16" s="10">
        <f t="shared" si="7"/>
        <v>915186.89558765735</v>
      </c>
    </row>
    <row r="17" spans="1:139" x14ac:dyDescent="0.2">
      <c r="A17" s="1" t="s">
        <v>1</v>
      </c>
      <c r="B17" s="1">
        <v>106847</v>
      </c>
      <c r="C17" s="1">
        <v>115838</v>
      </c>
      <c r="D17" s="1">
        <v>115613</v>
      </c>
      <c r="E17" s="1">
        <v>115613</v>
      </c>
      <c r="F17" s="1">
        <v>115284</v>
      </c>
      <c r="G17" s="1">
        <v>121850</v>
      </c>
      <c r="H17" s="1">
        <v>121183</v>
      </c>
      <c r="I17" s="1">
        <v>131825</v>
      </c>
      <c r="J17" s="1">
        <v>121431</v>
      </c>
      <c r="K17" s="1">
        <v>126810</v>
      </c>
      <c r="L17" s="1">
        <v>127340</v>
      </c>
      <c r="M17" s="1">
        <v>136172</v>
      </c>
      <c r="Q17" s="16">
        <v>358069</v>
      </c>
      <c r="R17" s="16">
        <v>365086</v>
      </c>
      <c r="S17" s="16">
        <v>360984</v>
      </c>
      <c r="T17" s="16">
        <v>361256</v>
      </c>
      <c r="U17" s="16">
        <v>373396</v>
      </c>
      <c r="V17" s="16">
        <v>385301</v>
      </c>
      <c r="W17" s="16">
        <v>394605</v>
      </c>
      <c r="X17" s="16">
        <v>420315</v>
      </c>
      <c r="Y17" s="16">
        <v>429000</v>
      </c>
      <c r="Z17" s="16">
        <f>+SUM(B17:E17)</f>
        <v>453911</v>
      </c>
      <c r="AA17" s="16">
        <f>+SUM(F17:I17)</f>
        <v>490142</v>
      </c>
      <c r="AB17" s="16">
        <f>+SUM(J17:M17)</f>
        <v>511753</v>
      </c>
      <c r="AC17" s="1">
        <f>+AC16*0.75</f>
        <v>526060.91250000009</v>
      </c>
      <c r="AD17" s="1">
        <f t="shared" ref="AD17:AL17" si="8">+AD16*0.75</f>
        <v>541842.73987500009</v>
      </c>
      <c r="AE17" s="1">
        <f t="shared" si="8"/>
        <v>558098.02207125013</v>
      </c>
      <c r="AF17" s="1">
        <f t="shared" si="8"/>
        <v>574840.96273338771</v>
      </c>
      <c r="AG17" s="1">
        <f t="shared" si="8"/>
        <v>592086.19161538931</v>
      </c>
      <c r="AH17" s="1">
        <f t="shared" si="8"/>
        <v>609848.77736385097</v>
      </c>
      <c r="AI17" s="1">
        <f t="shared" si="8"/>
        <v>628144.24068476656</v>
      </c>
      <c r="AJ17" s="1">
        <f t="shared" si="8"/>
        <v>646988.56790530961</v>
      </c>
      <c r="AK17" s="1">
        <f t="shared" si="8"/>
        <v>666398.22494246892</v>
      </c>
      <c r="AL17" s="1">
        <f t="shared" si="8"/>
        <v>686390.17169074295</v>
      </c>
    </row>
    <row r="18" spans="1:139" x14ac:dyDescent="0.2">
      <c r="A18" s="1" t="s">
        <v>2</v>
      </c>
      <c r="B18" s="1">
        <f>+B16-B17</f>
        <v>34722</v>
      </c>
      <c r="C18" s="1">
        <f>+C16-C17</f>
        <v>37021</v>
      </c>
      <c r="D18" s="1">
        <f>+D16-D17</f>
        <v>37200</v>
      </c>
      <c r="E18" s="1">
        <f>+E16-E17</f>
        <v>37200</v>
      </c>
      <c r="F18" s="1">
        <f>+F16-F17</f>
        <v>37017</v>
      </c>
      <c r="G18" s="1">
        <f>+G16-G17</f>
        <v>39782</v>
      </c>
      <c r="H18" s="1">
        <f>+H16-H17</f>
        <v>39621</v>
      </c>
      <c r="I18" s="1">
        <f>+I16-I17</f>
        <v>41564</v>
      </c>
      <c r="J18" s="1">
        <f>+J16-J17</f>
        <v>40077</v>
      </c>
      <c r="K18" s="1">
        <f>+K16-K17</f>
        <v>42525</v>
      </c>
      <c r="L18" s="1">
        <f>+L16-L17</f>
        <v>42248</v>
      </c>
      <c r="M18" s="1">
        <f>+M16-M17</f>
        <v>44382</v>
      </c>
      <c r="Q18" s="1">
        <f t="shared" ref="Q18:AA18" si="9">+Q16-Q17</f>
        <v>118225</v>
      </c>
      <c r="R18" s="1">
        <f t="shared" si="9"/>
        <v>120565</v>
      </c>
      <c r="S18" s="1">
        <f t="shared" si="9"/>
        <v>121146</v>
      </c>
      <c r="T18" s="1">
        <f t="shared" si="9"/>
        <v>124617</v>
      </c>
      <c r="U18" s="1">
        <f t="shared" si="9"/>
        <v>126947</v>
      </c>
      <c r="V18" s="1">
        <f t="shared" si="9"/>
        <v>129104</v>
      </c>
      <c r="W18" s="1">
        <f t="shared" si="9"/>
        <v>129359</v>
      </c>
      <c r="X18" s="1">
        <f t="shared" si="9"/>
        <v>138836</v>
      </c>
      <c r="Y18" s="1">
        <f t="shared" si="9"/>
        <v>143754</v>
      </c>
      <c r="Z18" s="1">
        <f t="shared" si="9"/>
        <v>146143</v>
      </c>
      <c r="AA18" s="1">
        <f t="shared" si="9"/>
        <v>157984</v>
      </c>
      <c r="AB18" s="1">
        <f>+AB16-AB17</f>
        <v>169232</v>
      </c>
      <c r="AC18" s="1">
        <f>+AC16-AC17</f>
        <v>175353.63749999995</v>
      </c>
      <c r="AD18" s="1">
        <f t="shared" ref="AD18:AL18" si="10">+AD16-AD17</f>
        <v>180614.24662500003</v>
      </c>
      <c r="AE18" s="1">
        <f t="shared" si="10"/>
        <v>186032.67402375001</v>
      </c>
      <c r="AF18" s="1">
        <f t="shared" si="10"/>
        <v>191613.65424446249</v>
      </c>
      <c r="AG18" s="1">
        <f t="shared" si="10"/>
        <v>197362.06387179648</v>
      </c>
      <c r="AH18" s="1">
        <f t="shared" si="10"/>
        <v>203282.9257879504</v>
      </c>
      <c r="AI18" s="1">
        <f t="shared" si="10"/>
        <v>209381.41356158885</v>
      </c>
      <c r="AJ18" s="1">
        <f t="shared" si="10"/>
        <v>215662.85596843646</v>
      </c>
      <c r="AK18" s="1">
        <f t="shared" si="10"/>
        <v>222132.7416474896</v>
      </c>
      <c r="AL18" s="1">
        <f t="shared" si="10"/>
        <v>228796.72389691439</v>
      </c>
    </row>
    <row r="19" spans="1:139" x14ac:dyDescent="0.2">
      <c r="A19" s="1" t="s">
        <v>3</v>
      </c>
      <c r="B19" s="1">
        <v>29404</v>
      </c>
      <c r="C19" s="1">
        <v>30167</v>
      </c>
      <c r="D19" s="1">
        <v>34505</v>
      </c>
      <c r="E19" s="1">
        <v>34505</v>
      </c>
      <c r="F19" s="1">
        <v>30777</v>
      </c>
      <c r="G19" s="1">
        <v>32466</v>
      </c>
      <c r="H19" s="1">
        <v>33419</v>
      </c>
      <c r="I19" s="1">
        <v>34309</v>
      </c>
      <c r="J19" s="1">
        <v>33236</v>
      </c>
      <c r="K19" s="1">
        <v>34585</v>
      </c>
      <c r="L19" s="1">
        <v>35540</v>
      </c>
      <c r="M19" s="1">
        <v>36523</v>
      </c>
      <c r="Q19" s="16">
        <v>91353</v>
      </c>
      <c r="R19" s="16">
        <v>93418</v>
      </c>
      <c r="S19" s="16">
        <v>97041</v>
      </c>
      <c r="T19" s="16">
        <v>101853</v>
      </c>
      <c r="U19" s="16">
        <v>106510</v>
      </c>
      <c r="V19" s="16">
        <v>107147</v>
      </c>
      <c r="W19" s="16">
        <v>108791</v>
      </c>
      <c r="X19" s="16">
        <v>116288</v>
      </c>
      <c r="Y19" s="16">
        <v>117812</v>
      </c>
      <c r="Z19" s="16">
        <f>+SUM(B19:E19)</f>
        <v>128581</v>
      </c>
      <c r="AA19" s="16">
        <f>+SUM(F19:I19)</f>
        <v>130971</v>
      </c>
      <c r="AB19" s="16">
        <f>+SUM(J19:M19)</f>
        <v>139884</v>
      </c>
      <c r="AC19" s="1">
        <f>+AC18-AC20</f>
        <v>147297.05549999996</v>
      </c>
      <c r="AD19" s="1">
        <f t="shared" ref="AD19:AL19" si="11">+AD18-AD20</f>
        <v>151715.96716500004</v>
      </c>
      <c r="AE19" s="1">
        <f t="shared" si="11"/>
        <v>156267.44617995</v>
      </c>
      <c r="AF19" s="1">
        <f t="shared" si="11"/>
        <v>160955.4695653485</v>
      </c>
      <c r="AG19" s="1">
        <f t="shared" si="11"/>
        <v>165784.13365230904</v>
      </c>
      <c r="AH19" s="1">
        <f t="shared" si="11"/>
        <v>170757.65766187833</v>
      </c>
      <c r="AI19" s="1">
        <f t="shared" si="11"/>
        <v>175880.38739173464</v>
      </c>
      <c r="AJ19" s="1">
        <f t="shared" si="11"/>
        <v>181156.7990134866</v>
      </c>
      <c r="AK19" s="1">
        <f t="shared" si="11"/>
        <v>186591.50298389126</v>
      </c>
      <c r="AL19" s="1">
        <f t="shared" si="11"/>
        <v>192189.24807340809</v>
      </c>
    </row>
    <row r="20" spans="1:139" s="10" customFormat="1" x14ac:dyDescent="0.2">
      <c r="A20" s="10" t="s">
        <v>4</v>
      </c>
      <c r="B20" s="10">
        <f>+B18-B19</f>
        <v>5318</v>
      </c>
      <c r="C20" s="10">
        <f>+C18-C19</f>
        <v>6854</v>
      </c>
      <c r="D20" s="10">
        <f>+D18-D19</f>
        <v>2695</v>
      </c>
      <c r="E20" s="10">
        <f>+E18-E19</f>
        <v>2695</v>
      </c>
      <c r="F20" s="10">
        <f>+F18-F19</f>
        <v>6240</v>
      </c>
      <c r="G20" s="10">
        <f>+G18-G19</f>
        <v>7316</v>
      </c>
      <c r="H20" s="10">
        <f>+H18-H19</f>
        <v>6202</v>
      </c>
      <c r="I20" s="10">
        <f>+I18-I19</f>
        <v>7255</v>
      </c>
      <c r="J20" s="10">
        <f>+J18-J19</f>
        <v>6841</v>
      </c>
      <c r="K20" s="10">
        <f>+K18-K19</f>
        <v>7940</v>
      </c>
      <c r="L20" s="10">
        <f>+L18-L19</f>
        <v>6708</v>
      </c>
      <c r="M20" s="10">
        <f>+M18-M19</f>
        <v>7859</v>
      </c>
      <c r="Q20" s="10">
        <f t="shared" ref="Q20:AA20" si="12">+Q18-Q19</f>
        <v>26872</v>
      </c>
      <c r="R20" s="10">
        <f t="shared" si="12"/>
        <v>27147</v>
      </c>
      <c r="S20" s="10">
        <f t="shared" si="12"/>
        <v>24105</v>
      </c>
      <c r="T20" s="10">
        <f t="shared" si="12"/>
        <v>22764</v>
      </c>
      <c r="U20" s="10">
        <f t="shared" si="12"/>
        <v>20437</v>
      </c>
      <c r="V20" s="10">
        <f t="shared" si="12"/>
        <v>21957</v>
      </c>
      <c r="W20" s="10">
        <f t="shared" si="12"/>
        <v>20568</v>
      </c>
      <c r="X20" s="10">
        <f t="shared" si="12"/>
        <v>22548</v>
      </c>
      <c r="Y20" s="10">
        <f t="shared" si="12"/>
        <v>25942</v>
      </c>
      <c r="Z20" s="10">
        <f t="shared" si="12"/>
        <v>17562</v>
      </c>
      <c r="AA20" s="10">
        <f t="shared" si="12"/>
        <v>27013</v>
      </c>
      <c r="AB20" s="10">
        <f>+AB18-AB19</f>
        <v>29348</v>
      </c>
      <c r="AC20" s="10">
        <f>+AC16*0.04</f>
        <v>28056.582000000002</v>
      </c>
      <c r="AD20" s="10">
        <f t="shared" ref="AD20:AL20" si="13">+AD16*0.04</f>
        <v>28898.279460000005</v>
      </c>
      <c r="AE20" s="10">
        <f t="shared" si="13"/>
        <v>29765.227843800007</v>
      </c>
      <c r="AF20" s="10">
        <f t="shared" si="13"/>
        <v>30658.184679114009</v>
      </c>
      <c r="AG20" s="10">
        <f t="shared" si="13"/>
        <v>31577.930219487433</v>
      </c>
      <c r="AH20" s="10">
        <f t="shared" si="13"/>
        <v>32525.268126072056</v>
      </c>
      <c r="AI20" s="10">
        <f t="shared" si="13"/>
        <v>33501.026169854216</v>
      </c>
      <c r="AJ20" s="10">
        <f t="shared" si="13"/>
        <v>34506.056954949847</v>
      </c>
      <c r="AK20" s="10">
        <f t="shared" si="13"/>
        <v>35541.238663598342</v>
      </c>
      <c r="AL20" s="10">
        <f t="shared" si="13"/>
        <v>36607.475823506298</v>
      </c>
    </row>
    <row r="21" spans="1:139" x14ac:dyDescent="0.2">
      <c r="A21" s="1" t="s">
        <v>5</v>
      </c>
      <c r="B21" s="1">
        <v>-419</v>
      </c>
      <c r="C21" s="1">
        <v>-448</v>
      </c>
      <c r="D21" s="1">
        <v>-500</v>
      </c>
      <c r="E21" s="1">
        <v>-500</v>
      </c>
      <c r="F21" s="1">
        <v>-557</v>
      </c>
      <c r="G21" s="1">
        <v>-494</v>
      </c>
      <c r="H21" s="1">
        <v>-537</v>
      </c>
      <c r="I21" s="1">
        <v>-549</v>
      </c>
      <c r="J21" s="1">
        <v>-600</v>
      </c>
      <c r="K21" s="1">
        <v>-565</v>
      </c>
      <c r="L21" s="1">
        <v>-478</v>
      </c>
      <c r="M21" s="1">
        <v>-602</v>
      </c>
      <c r="Q21" s="16">
        <v>-2216</v>
      </c>
      <c r="R21" s="16">
        <v>-2348</v>
      </c>
      <c r="S21" s="16">
        <v>-2467</v>
      </c>
      <c r="T21" s="16">
        <v>-2267</v>
      </c>
      <c r="U21" s="16">
        <v>-2178</v>
      </c>
      <c r="V21" s="16">
        <v>-2129</v>
      </c>
      <c r="W21" s="16">
        <v>-2410</v>
      </c>
      <c r="X21" s="16">
        <v>-2194</v>
      </c>
      <c r="Y21" s="16">
        <v>-1836</v>
      </c>
      <c r="Z21" s="16">
        <f>+SUM(B21:E21)</f>
        <v>-1867</v>
      </c>
      <c r="AA21" s="16">
        <f>+SUM(F21:I21)</f>
        <v>-2137</v>
      </c>
      <c r="AB21" s="16">
        <f>+SUM(J21:M21)</f>
        <v>-2245</v>
      </c>
      <c r="AC21" s="1">
        <f>+AB35*$AB$34</f>
        <v>-1726.7250000000001</v>
      </c>
      <c r="AD21" s="1">
        <f>+AC35*$AB$34</f>
        <v>-606.38958464999985</v>
      </c>
      <c r="AE21" s="1">
        <f>+AD35*$AB$34</f>
        <v>597.43032954614307</v>
      </c>
      <c r="AF21" s="1">
        <f t="shared" ref="AD21:AL21" si="14">+AE35*$AB$34</f>
        <v>1889.3614348220219</v>
      </c>
      <c r="AG21" s="1">
        <f t="shared" si="14"/>
        <v>3274.2595219700002</v>
      </c>
      <c r="AH21" s="1">
        <f t="shared" si="14"/>
        <v>4757.2201954690136</v>
      </c>
      <c r="AI21" s="1">
        <f t="shared" si="14"/>
        <v>6343.5900735505857</v>
      </c>
      <c r="AJ21" s="1">
        <f t="shared" si="14"/>
        <v>8038.9784947074595</v>
      </c>
      <c r="AK21" s="1">
        <f t="shared" si="14"/>
        <v>9849.2697530903788</v>
      </c>
      <c r="AL21" s="1">
        <f t="shared" si="14"/>
        <v>11780.635886220483</v>
      </c>
    </row>
    <row r="22" spans="1:139" x14ac:dyDescent="0.2">
      <c r="A22" s="1" t="s">
        <v>6</v>
      </c>
      <c r="B22" s="1">
        <f>+B20+B21</f>
        <v>4899</v>
      </c>
      <c r="C22" s="1">
        <f>+C20+C21</f>
        <v>6406</v>
      </c>
      <c r="D22" s="1">
        <f>+D20+D21</f>
        <v>2195</v>
      </c>
      <c r="E22" s="1">
        <f>+E20+E21</f>
        <v>2195</v>
      </c>
      <c r="F22" s="1">
        <f>+F20+F21</f>
        <v>5683</v>
      </c>
      <c r="G22" s="1">
        <f>+G20+G21</f>
        <v>6822</v>
      </c>
      <c r="H22" s="1">
        <f>+H20+H21</f>
        <v>5665</v>
      </c>
      <c r="I22" s="1">
        <f>+I20+I21</f>
        <v>6706</v>
      </c>
      <c r="J22" s="1">
        <f>+J20+J21</f>
        <v>6241</v>
      </c>
      <c r="K22" s="1">
        <f>+K20+K21</f>
        <v>7375</v>
      </c>
      <c r="L22" s="1">
        <f>+L20+L21</f>
        <v>6230</v>
      </c>
      <c r="M22" s="1">
        <f>+M20+M21</f>
        <v>7257</v>
      </c>
      <c r="Q22" s="1">
        <f t="shared" ref="Q22:AA22" si="15">+Q20+Q21</f>
        <v>24656</v>
      </c>
      <c r="R22" s="1">
        <f t="shared" si="15"/>
        <v>24799</v>
      </c>
      <c r="S22" s="1">
        <f t="shared" si="15"/>
        <v>21638</v>
      </c>
      <c r="T22" s="1">
        <f t="shared" si="15"/>
        <v>20497</v>
      </c>
      <c r="U22" s="1">
        <f t="shared" si="15"/>
        <v>18259</v>
      </c>
      <c r="V22" s="1">
        <f t="shared" si="15"/>
        <v>19828</v>
      </c>
      <c r="W22" s="1">
        <f t="shared" si="15"/>
        <v>18158</v>
      </c>
      <c r="X22" s="1">
        <f t="shared" si="15"/>
        <v>20354</v>
      </c>
      <c r="Y22" s="1">
        <f t="shared" si="15"/>
        <v>24106</v>
      </c>
      <c r="Z22" s="1">
        <f t="shared" si="15"/>
        <v>15695</v>
      </c>
      <c r="AA22" s="1">
        <f t="shared" si="15"/>
        <v>24876</v>
      </c>
      <c r="AB22" s="1">
        <f>+AB20+AB21</f>
        <v>27103</v>
      </c>
      <c r="AC22" s="1">
        <f>+AC20+AC21</f>
        <v>26329.857000000004</v>
      </c>
      <c r="AD22" s="1">
        <f t="shared" ref="AD22:AL22" si="16">+AD20+AD21</f>
        <v>28291.889875350007</v>
      </c>
      <c r="AE22" s="1">
        <f t="shared" si="16"/>
        <v>30362.65817334615</v>
      </c>
      <c r="AF22" s="1">
        <f t="shared" si="16"/>
        <v>32547.54611393603</v>
      </c>
      <c r="AG22" s="1">
        <f t="shared" si="16"/>
        <v>34852.189741457434</v>
      </c>
      <c r="AH22" s="1">
        <f t="shared" si="16"/>
        <v>37282.488321541066</v>
      </c>
      <c r="AI22" s="1">
        <f t="shared" si="16"/>
        <v>39844.616243404802</v>
      </c>
      <c r="AJ22" s="1">
        <f t="shared" si="16"/>
        <v>42545.035449657305</v>
      </c>
      <c r="AK22" s="1">
        <f t="shared" si="16"/>
        <v>45390.508416688725</v>
      </c>
      <c r="AL22" s="1">
        <f t="shared" si="16"/>
        <v>48388.111709726785</v>
      </c>
    </row>
    <row r="23" spans="1:139" x14ac:dyDescent="0.2">
      <c r="A23" s="1" t="s">
        <v>7</v>
      </c>
      <c r="B23" s="1">
        <v>798</v>
      </c>
      <c r="C23" s="1">
        <v>1497</v>
      </c>
      <c r="D23" s="1">
        <v>336</v>
      </c>
      <c r="E23" s="1">
        <v>336</v>
      </c>
      <c r="F23" s="1">
        <v>792</v>
      </c>
      <c r="G23" s="1">
        <v>2674</v>
      </c>
      <c r="H23" s="1">
        <v>272</v>
      </c>
      <c r="I23" s="1">
        <v>1840</v>
      </c>
      <c r="J23" s="1">
        <v>1728</v>
      </c>
      <c r="K23" s="1">
        <v>1502</v>
      </c>
      <c r="L23" s="1">
        <v>1384</v>
      </c>
      <c r="M23" s="1">
        <v>1538</v>
      </c>
      <c r="Q23" s="16">
        <v>8105</v>
      </c>
      <c r="R23" s="16">
        <v>7985</v>
      </c>
      <c r="S23" s="16">
        <v>6558</v>
      </c>
      <c r="T23" s="16">
        <v>6204</v>
      </c>
      <c r="U23" s="16">
        <v>4600</v>
      </c>
      <c r="V23" s="16">
        <v>4281</v>
      </c>
      <c r="W23" s="16">
        <v>4915</v>
      </c>
      <c r="X23" s="16">
        <v>6858</v>
      </c>
      <c r="Y23" s="16">
        <v>4756</v>
      </c>
      <c r="Z23" s="16">
        <f>+SUM(B23:E23)</f>
        <v>2967</v>
      </c>
      <c r="AA23" s="16">
        <f>+SUM(F23:I23)</f>
        <v>5578</v>
      </c>
      <c r="AB23" s="16">
        <f>+SUM(J23:M23)</f>
        <v>6152</v>
      </c>
      <c r="AC23" s="1">
        <f>+AC22*0.26</f>
        <v>6845.7628200000008</v>
      </c>
      <c r="AD23" s="1">
        <f t="shared" ref="AD23:AL23" si="17">+AD22*0.26</f>
        <v>7355.8913675910017</v>
      </c>
      <c r="AE23" s="1">
        <f t="shared" si="17"/>
        <v>7894.291125069999</v>
      </c>
      <c r="AF23" s="1">
        <f t="shared" si="17"/>
        <v>8462.3619896233686</v>
      </c>
      <c r="AG23" s="1">
        <f t="shared" si="17"/>
        <v>9061.569332778934</v>
      </c>
      <c r="AH23" s="1">
        <f t="shared" si="17"/>
        <v>9693.4469636006779</v>
      </c>
      <c r="AI23" s="1">
        <f t="shared" si="17"/>
        <v>10359.60022328525</v>
      </c>
      <c r="AJ23" s="1">
        <f t="shared" si="17"/>
        <v>11061.7092169109</v>
      </c>
      <c r="AK23" s="1">
        <f t="shared" si="17"/>
        <v>11801.532188339068</v>
      </c>
      <c r="AL23" s="1">
        <f t="shared" si="17"/>
        <v>12580.909044528964</v>
      </c>
    </row>
    <row r="24" spans="1:139" s="10" customFormat="1" x14ac:dyDescent="0.2">
      <c r="A24" s="10" t="s">
        <v>8</v>
      </c>
      <c r="B24" s="10">
        <f>+B22-B23</f>
        <v>4101</v>
      </c>
      <c r="C24" s="10">
        <f>+C22-C23</f>
        <v>4909</v>
      </c>
      <c r="D24" s="10">
        <f>+D22-D23</f>
        <v>1859</v>
      </c>
      <c r="E24" s="10">
        <f>+E22-E23</f>
        <v>1859</v>
      </c>
      <c r="F24" s="10">
        <f>+F22-F23</f>
        <v>4891</v>
      </c>
      <c r="G24" s="10">
        <f>+G22-G23</f>
        <v>4148</v>
      </c>
      <c r="H24" s="10">
        <f>+H22-H23</f>
        <v>5393</v>
      </c>
      <c r="I24" s="10">
        <f>+I22-I23</f>
        <v>4866</v>
      </c>
      <c r="J24" s="10">
        <f>+J22-J23</f>
        <v>4513</v>
      </c>
      <c r="K24" s="10">
        <f>+K22-K23</f>
        <v>5873</v>
      </c>
      <c r="L24" s="10">
        <f>+L22-L23</f>
        <v>4846</v>
      </c>
      <c r="M24" s="10">
        <f>+M22-M23</f>
        <v>5719</v>
      </c>
      <c r="Q24" s="10">
        <f t="shared" ref="Q24:AA24" si="18">+Q22-Q23</f>
        <v>16551</v>
      </c>
      <c r="R24" s="10">
        <f t="shared" si="18"/>
        <v>16814</v>
      </c>
      <c r="S24" s="10">
        <f t="shared" si="18"/>
        <v>15080</v>
      </c>
      <c r="T24" s="10">
        <f t="shared" si="18"/>
        <v>14293</v>
      </c>
      <c r="U24" s="10">
        <f t="shared" si="18"/>
        <v>13659</v>
      </c>
      <c r="V24" s="10">
        <f t="shared" si="18"/>
        <v>15547</v>
      </c>
      <c r="W24" s="10">
        <f t="shared" si="18"/>
        <v>13243</v>
      </c>
      <c r="X24" s="10">
        <f t="shared" si="18"/>
        <v>13496</v>
      </c>
      <c r="Y24" s="10">
        <f t="shared" si="18"/>
        <v>19350</v>
      </c>
      <c r="Z24" s="10">
        <f t="shared" si="18"/>
        <v>12728</v>
      </c>
      <c r="AA24" s="10">
        <f t="shared" si="18"/>
        <v>19298</v>
      </c>
      <c r="AB24" s="10">
        <f>+AB22-AB23</f>
        <v>20951</v>
      </c>
      <c r="AC24" s="10">
        <f>+AC22-AC23</f>
        <v>19484.094180000004</v>
      </c>
      <c r="AD24" s="10">
        <f t="shared" ref="AD24:AL24" si="19">+AD22-AD23</f>
        <v>20935.998507759006</v>
      </c>
      <c r="AE24" s="10">
        <f t="shared" si="19"/>
        <v>22468.367048276152</v>
      </c>
      <c r="AF24" s="10">
        <f t="shared" si="19"/>
        <v>24085.184124312662</v>
      </c>
      <c r="AG24" s="10">
        <f t="shared" si="19"/>
        <v>25790.6204086785</v>
      </c>
      <c r="AH24" s="10">
        <f t="shared" si="19"/>
        <v>27589.04135794039</v>
      </c>
      <c r="AI24" s="10">
        <f t="shared" si="19"/>
        <v>29485.016020119554</v>
      </c>
      <c r="AJ24" s="10">
        <f t="shared" si="19"/>
        <v>31483.326232746404</v>
      </c>
      <c r="AK24" s="10">
        <f t="shared" si="19"/>
        <v>33588.976228349653</v>
      </c>
      <c r="AL24" s="10">
        <f t="shared" si="19"/>
        <v>35807.202665197823</v>
      </c>
      <c r="AM24" s="10">
        <f>+AL24*(1+$AO$29)</f>
        <v>35449.130638545845</v>
      </c>
      <c r="AN24" s="10">
        <f t="shared" ref="AN24:CY24" si="20">+AM24*(1+$AO$29)</f>
        <v>35094.639332160383</v>
      </c>
      <c r="AO24" s="10">
        <f t="shared" si="20"/>
        <v>34743.69293883878</v>
      </c>
      <c r="AP24" s="10">
        <f t="shared" si="20"/>
        <v>34396.256009450393</v>
      </c>
      <c r="AQ24" s="10">
        <f t="shared" si="20"/>
        <v>34052.293449355886</v>
      </c>
      <c r="AR24" s="10">
        <f t="shared" si="20"/>
        <v>33711.770514862328</v>
      </c>
      <c r="AS24" s="10">
        <f t="shared" si="20"/>
        <v>33374.652809713705</v>
      </c>
      <c r="AT24" s="10">
        <f t="shared" si="20"/>
        <v>33040.906281616568</v>
      </c>
      <c r="AU24" s="10">
        <f t="shared" si="20"/>
        <v>32710.497218800403</v>
      </c>
      <c r="AV24" s="10">
        <f t="shared" si="20"/>
        <v>32383.392246612399</v>
      </c>
      <c r="AW24" s="10">
        <f t="shared" si="20"/>
        <v>32059.558324146274</v>
      </c>
      <c r="AX24" s="10">
        <f t="shared" si="20"/>
        <v>31738.962740904812</v>
      </c>
      <c r="AY24" s="10">
        <f t="shared" si="20"/>
        <v>31421.573113495764</v>
      </c>
      <c r="AZ24" s="10">
        <f t="shared" si="20"/>
        <v>31107.357382360806</v>
      </c>
      <c r="BA24" s="10">
        <f t="shared" si="20"/>
        <v>30796.283808537199</v>
      </c>
      <c r="BB24" s="10">
        <f t="shared" si="20"/>
        <v>30488.320970451827</v>
      </c>
      <c r="BC24" s="10">
        <f t="shared" si="20"/>
        <v>30183.437760747307</v>
      </c>
      <c r="BD24" s="10">
        <f t="shared" si="20"/>
        <v>29881.603383139834</v>
      </c>
      <c r="BE24" s="10">
        <f t="shared" si="20"/>
        <v>29582.787349308437</v>
      </c>
      <c r="BF24" s="10">
        <f t="shared" si="20"/>
        <v>29286.959475815351</v>
      </c>
      <c r="BG24" s="10">
        <f t="shared" si="20"/>
        <v>28994.089881057196</v>
      </c>
      <c r="BH24" s="10">
        <f t="shared" si="20"/>
        <v>28704.148982246625</v>
      </c>
      <c r="BI24" s="10">
        <f t="shared" si="20"/>
        <v>28417.107492424158</v>
      </c>
      <c r="BJ24" s="10">
        <f t="shared" si="20"/>
        <v>28132.936417499917</v>
      </c>
      <c r="BK24" s="10">
        <f t="shared" si="20"/>
        <v>27851.607053324919</v>
      </c>
      <c r="BL24" s="10">
        <f t="shared" si="20"/>
        <v>27573.090982791669</v>
      </c>
      <c r="BM24" s="10">
        <f t="shared" si="20"/>
        <v>27297.360072963751</v>
      </c>
      <c r="BN24" s="10">
        <f t="shared" si="20"/>
        <v>27024.386472234113</v>
      </c>
      <c r="BO24" s="10">
        <f t="shared" si="20"/>
        <v>26754.142607511771</v>
      </c>
      <c r="BP24" s="10">
        <f t="shared" si="20"/>
        <v>26486.601181436654</v>
      </c>
      <c r="BQ24" s="10">
        <f t="shared" si="20"/>
        <v>26221.735169622287</v>
      </c>
      <c r="BR24" s="10">
        <f t="shared" si="20"/>
        <v>25959.517817926062</v>
      </c>
      <c r="BS24" s="10">
        <f t="shared" si="20"/>
        <v>25699.922639746801</v>
      </c>
      <c r="BT24" s="10">
        <f t="shared" si="20"/>
        <v>25442.923413349334</v>
      </c>
      <c r="BU24" s="10">
        <f t="shared" si="20"/>
        <v>25188.494179215839</v>
      </c>
      <c r="BV24" s="10">
        <f t="shared" si="20"/>
        <v>24936.60923742368</v>
      </c>
      <c r="BW24" s="10">
        <f t="shared" si="20"/>
        <v>24687.243145049444</v>
      </c>
      <c r="BX24" s="10">
        <f t="shared" si="20"/>
        <v>24440.37071359895</v>
      </c>
      <c r="BY24" s="10">
        <f t="shared" si="20"/>
        <v>24195.967006462961</v>
      </c>
      <c r="BZ24" s="10">
        <f t="shared" si="20"/>
        <v>23954.007336398332</v>
      </c>
      <c r="CA24" s="10">
        <f t="shared" si="20"/>
        <v>23714.467263034348</v>
      </c>
      <c r="CB24" s="10">
        <f t="shared" si="20"/>
        <v>23477.322590404005</v>
      </c>
      <c r="CC24" s="10">
        <f t="shared" si="20"/>
        <v>23242.549364499966</v>
      </c>
      <c r="CD24" s="10">
        <f t="shared" si="20"/>
        <v>23010.123870854964</v>
      </c>
      <c r="CE24" s="10">
        <f t="shared" si="20"/>
        <v>22780.022632146414</v>
      </c>
      <c r="CF24" s="10">
        <f t="shared" si="20"/>
        <v>22552.222405824949</v>
      </c>
      <c r="CG24" s="10">
        <f t="shared" si="20"/>
        <v>22326.700181766701</v>
      </c>
      <c r="CH24" s="10">
        <f t="shared" si="20"/>
        <v>22103.433179949032</v>
      </c>
      <c r="CI24" s="10">
        <f t="shared" si="20"/>
        <v>21882.39884814954</v>
      </c>
      <c r="CJ24" s="10">
        <f t="shared" si="20"/>
        <v>21663.574859668046</v>
      </c>
      <c r="CK24" s="10">
        <f t="shared" si="20"/>
        <v>21446.939111071366</v>
      </c>
      <c r="CL24" s="10">
        <f t="shared" si="20"/>
        <v>21232.469719960653</v>
      </c>
      <c r="CM24" s="10">
        <f t="shared" si="20"/>
        <v>21020.145022761048</v>
      </c>
      <c r="CN24" s="10">
        <f t="shared" si="20"/>
        <v>20809.943572533437</v>
      </c>
      <c r="CO24" s="10">
        <f t="shared" si="20"/>
        <v>20601.844136808104</v>
      </c>
      <c r="CP24" s="10">
        <f t="shared" si="20"/>
        <v>20395.825695440024</v>
      </c>
      <c r="CQ24" s="10">
        <f t="shared" si="20"/>
        <v>20191.867438485624</v>
      </c>
      <c r="CR24" s="10">
        <f t="shared" si="20"/>
        <v>19989.948764100769</v>
      </c>
      <c r="CS24" s="10">
        <f t="shared" si="20"/>
        <v>19790.049276459762</v>
      </c>
      <c r="CT24" s="10">
        <f t="shared" si="20"/>
        <v>19592.148783695164</v>
      </c>
      <c r="CU24" s="10">
        <f t="shared" si="20"/>
        <v>19396.227295858211</v>
      </c>
      <c r="CV24" s="10">
        <f t="shared" si="20"/>
        <v>19202.265022899628</v>
      </c>
      <c r="CW24" s="10">
        <f t="shared" si="20"/>
        <v>19010.242372670633</v>
      </c>
      <c r="CX24" s="10">
        <f t="shared" si="20"/>
        <v>18820.139948943928</v>
      </c>
      <c r="CY24" s="10">
        <f t="shared" si="20"/>
        <v>18631.938549454488</v>
      </c>
      <c r="CZ24" s="10">
        <f t="shared" ref="CZ24:EI24" si="21">+CY24*(1+$AO$29)</f>
        <v>18445.619163959942</v>
      </c>
      <c r="DA24" s="10">
        <f t="shared" si="21"/>
        <v>18261.162972320344</v>
      </c>
      <c r="DB24" s="10">
        <f t="shared" si="21"/>
        <v>18078.55134259714</v>
      </c>
      <c r="DC24" s="10">
        <f t="shared" si="21"/>
        <v>17897.76582917117</v>
      </c>
      <c r="DD24" s="10">
        <f t="shared" si="21"/>
        <v>17718.788170879459</v>
      </c>
      <c r="DE24" s="10">
        <f t="shared" si="21"/>
        <v>17541.600289170663</v>
      </c>
      <c r="DF24" s="10">
        <f t="shared" si="21"/>
        <v>17366.184286278956</v>
      </c>
      <c r="DG24" s="10">
        <f t="shared" si="21"/>
        <v>17192.522443416168</v>
      </c>
      <c r="DH24" s="10">
        <f t="shared" si="21"/>
        <v>17020.597218982006</v>
      </c>
      <c r="DI24" s="10">
        <f t="shared" si="21"/>
        <v>16850.391246792187</v>
      </c>
      <c r="DJ24" s="10">
        <f t="shared" si="21"/>
        <v>16681.887334324267</v>
      </c>
      <c r="DK24" s="10">
        <f t="shared" si="21"/>
        <v>16515.068460981023</v>
      </c>
      <c r="DL24" s="10">
        <f t="shared" si="21"/>
        <v>16349.917776371212</v>
      </c>
      <c r="DM24" s="10">
        <f t="shared" si="21"/>
        <v>16186.418598607501</v>
      </c>
      <c r="DN24" s="10">
        <f t="shared" si="21"/>
        <v>16024.554412621426</v>
      </c>
      <c r="DO24" s="10">
        <f t="shared" si="21"/>
        <v>15864.308868495213</v>
      </c>
      <c r="DP24" s="10">
        <f t="shared" si="21"/>
        <v>15705.665779810261</v>
      </c>
      <c r="DQ24" s="10">
        <f t="shared" si="21"/>
        <v>15548.609122012158</v>
      </c>
      <c r="DR24" s="10">
        <f t="shared" si="21"/>
        <v>15393.123030792036</v>
      </c>
      <c r="DS24" s="10">
        <f t="shared" si="21"/>
        <v>15239.191800484115</v>
      </c>
      <c r="DT24" s="10">
        <f t="shared" si="21"/>
        <v>15086.799882479274</v>
      </c>
      <c r="DU24" s="10">
        <f t="shared" si="21"/>
        <v>14935.931883654481</v>
      </c>
      <c r="DV24" s="10">
        <f t="shared" si="21"/>
        <v>14786.572564817936</v>
      </c>
      <c r="DW24" s="10">
        <f t="shared" si="21"/>
        <v>14638.706839169756</v>
      </c>
      <c r="DX24" s="10">
        <f t="shared" si="21"/>
        <v>14492.319770778058</v>
      </c>
      <c r="DY24" s="10">
        <f t="shared" si="21"/>
        <v>14347.396573070277</v>
      </c>
      <c r="DZ24" s="10">
        <f t="shared" si="21"/>
        <v>14203.922607339573</v>
      </c>
      <c r="EA24" s="10">
        <f t="shared" si="21"/>
        <v>14061.883381266178</v>
      </c>
      <c r="EB24" s="10">
        <f t="shared" si="21"/>
        <v>13921.264547453517</v>
      </c>
      <c r="EC24" s="10">
        <f t="shared" si="21"/>
        <v>13782.051901978981</v>
      </c>
      <c r="ED24" s="10">
        <f t="shared" si="21"/>
        <v>13644.231382959191</v>
      </c>
      <c r="EE24" s="10">
        <f t="shared" si="21"/>
        <v>13507.7890691296</v>
      </c>
      <c r="EF24" s="10">
        <f t="shared" si="21"/>
        <v>13372.711178438303</v>
      </c>
      <c r="EG24" s="10">
        <f t="shared" si="21"/>
        <v>13238.98406665392</v>
      </c>
      <c r="EH24" s="10">
        <f t="shared" si="21"/>
        <v>13106.594225987381</v>
      </c>
      <c r="EI24" s="10">
        <f t="shared" si="21"/>
        <v>12975.528283727506</v>
      </c>
    </row>
    <row r="25" spans="1:139" s="4" customFormat="1" x14ac:dyDescent="0.2">
      <c r="A25" s="4" t="s">
        <v>9</v>
      </c>
      <c r="B25" s="4">
        <f>+B24/B26</f>
        <v>1.4831826401446655</v>
      </c>
      <c r="C25" s="4">
        <f>+C24/C26</f>
        <v>1.7883424408014572</v>
      </c>
      <c r="D25" s="4">
        <f>+D24/D26</f>
        <v>0.68572482478790109</v>
      </c>
      <c r="E25" s="4">
        <f>+E24/E26</f>
        <v>0.68572482478790109</v>
      </c>
      <c r="F25" s="4">
        <f>+F24/F26</f>
        <v>0.60293392504930965</v>
      </c>
      <c r="G25" s="4">
        <f>+G24/G26</f>
        <v>0.51159348791317216</v>
      </c>
      <c r="H25" s="4">
        <f>+H24/H26</f>
        <v>0.66498150431565972</v>
      </c>
      <c r="I25" s="4">
        <f>+I24/I26</f>
        <v>0.60059244630955322</v>
      </c>
      <c r="J25" s="4">
        <f>+J24/J26</f>
        <v>0.55826323602177141</v>
      </c>
      <c r="K25" s="4">
        <f>+K24/K26</f>
        <v>0.72676648929587917</v>
      </c>
      <c r="L25" s="4">
        <f>+L24/L26</f>
        <v>0.59960405840138575</v>
      </c>
      <c r="M25" s="4">
        <f>+M24/M26</f>
        <v>0.70797227036395149</v>
      </c>
      <c r="Q25" s="4">
        <f t="shared" ref="Q25:AA25" si="22">+Q24/Q26</f>
        <v>5.0414255254340539</v>
      </c>
      <c r="R25" s="4">
        <f t="shared" si="22"/>
        <v>5.1847055195806355</v>
      </c>
      <c r="S25" s="4">
        <f t="shared" si="22"/>
        <v>4.6875971401927261</v>
      </c>
      <c r="T25" s="4">
        <f t="shared" si="22"/>
        <v>4.5928663239074554</v>
      </c>
      <c r="U25" s="4">
        <f t="shared" si="22"/>
        <v>4.537873754152824</v>
      </c>
      <c r="V25" s="4">
        <f t="shared" si="22"/>
        <v>5.2791171477079795</v>
      </c>
      <c r="W25" s="4">
        <f t="shared" si="22"/>
        <v>4.6175034867503486</v>
      </c>
      <c r="X25" s="4">
        <f t="shared" si="22"/>
        <v>4.7404285212504389</v>
      </c>
      <c r="Y25" s="4">
        <f t="shared" si="22"/>
        <v>6.8983957219251337</v>
      </c>
      <c r="Z25" s="4">
        <f t="shared" si="22"/>
        <v>4.6571533113794361</v>
      </c>
      <c r="AA25" s="4">
        <f t="shared" si="22"/>
        <v>2.3801184015786876</v>
      </c>
      <c r="AB25" s="4">
        <f>+AB24/AB26</f>
        <v>2.5925444702242846</v>
      </c>
      <c r="AC25" s="4">
        <f t="shared" ref="AC25:AL25" si="23">+AC24/AC26</f>
        <v>2.4562192357947725</v>
      </c>
      <c r="AD25" s="4">
        <f t="shared" si="23"/>
        <v>2.6887228437206292</v>
      </c>
      <c r="AE25" s="4">
        <f t="shared" si="23"/>
        <v>2.9396073095399067</v>
      </c>
      <c r="AF25" s="4">
        <f t="shared" si="23"/>
        <v>3.2102084207856136</v>
      </c>
      <c r="AG25" s="4">
        <f t="shared" si="23"/>
        <v>3.5019544963634699</v>
      </c>
      <c r="AH25" s="4">
        <f t="shared" si="23"/>
        <v>3.8163726048627522</v>
      </c>
      <c r="AI25" s="4">
        <f t="shared" si="23"/>
        <v>4.1550951922904016</v>
      </c>
      <c r="AJ25" s="4">
        <f t="shared" si="23"/>
        <v>4.5198671457999984</v>
      </c>
      <c r="AK25" s="4">
        <f t="shared" si="23"/>
        <v>4.9125533216937862</v>
      </c>
      <c r="AL25" s="4">
        <f t="shared" si="23"/>
        <v>5.3351465677912548</v>
      </c>
    </row>
    <row r="26" spans="1:139" x14ac:dyDescent="0.2">
      <c r="A26" s="1" t="s">
        <v>10</v>
      </c>
      <c r="B26" s="1">
        <v>2765</v>
      </c>
      <c r="C26" s="1">
        <v>2745</v>
      </c>
      <c r="D26" s="1">
        <v>2711</v>
      </c>
      <c r="E26" s="1">
        <v>2711</v>
      </c>
      <c r="F26" s="1">
        <v>8112</v>
      </c>
      <c r="G26" s="1">
        <v>8108</v>
      </c>
      <c r="H26" s="1">
        <v>8110</v>
      </c>
      <c r="I26" s="1">
        <v>8102</v>
      </c>
      <c r="J26" s="1">
        <v>8084</v>
      </c>
      <c r="K26" s="1">
        <v>8081</v>
      </c>
      <c r="L26" s="1">
        <v>8082</v>
      </c>
      <c r="M26" s="1">
        <v>8078</v>
      </c>
      <c r="P26" s="3"/>
      <c r="Q26" s="1">
        <v>3283</v>
      </c>
      <c r="R26" s="1">
        <v>3243</v>
      </c>
      <c r="S26" s="1">
        <v>3217</v>
      </c>
      <c r="T26" s="1">
        <v>3112</v>
      </c>
      <c r="U26" s="1">
        <v>3010</v>
      </c>
      <c r="V26" s="1">
        <v>2945</v>
      </c>
      <c r="W26" s="1">
        <v>2868</v>
      </c>
      <c r="X26" s="1">
        <v>2847</v>
      </c>
      <c r="Y26" s="1">
        <v>2805</v>
      </c>
      <c r="Z26" s="1">
        <f>+AVERAGE(B26:E26)</f>
        <v>2733</v>
      </c>
      <c r="AA26" s="1">
        <f>+AVERAGE(F26:I26)</f>
        <v>8108</v>
      </c>
      <c r="AB26" s="1">
        <f>+AVERAGE(J26:M26)</f>
        <v>8081.25</v>
      </c>
      <c r="AC26" s="1">
        <f>+AB26*0.9816</f>
        <v>7932.5550000000003</v>
      </c>
      <c r="AD26" s="1">
        <f t="shared" ref="AD26:AL26" si="24">+AC26*0.9816</f>
        <v>7786.5959880000009</v>
      </c>
      <c r="AE26" s="1">
        <f t="shared" si="24"/>
        <v>7643.322621820801</v>
      </c>
      <c r="AF26" s="1">
        <f t="shared" si="24"/>
        <v>7502.6854855792981</v>
      </c>
      <c r="AG26" s="1">
        <f t="shared" si="24"/>
        <v>7364.6360726446392</v>
      </c>
      <c r="AH26" s="1">
        <f t="shared" si="24"/>
        <v>7229.1267689079777</v>
      </c>
      <c r="AI26" s="1">
        <f t="shared" si="24"/>
        <v>7096.1108363600715</v>
      </c>
      <c r="AJ26" s="1">
        <f t="shared" si="24"/>
        <v>6965.5423969710464</v>
      </c>
      <c r="AK26" s="1">
        <f t="shared" si="24"/>
        <v>6837.3764168667794</v>
      </c>
      <c r="AL26" s="1">
        <f t="shared" si="24"/>
        <v>6711.5686907964309</v>
      </c>
    </row>
    <row r="27" spans="1:139" s="17" customFormat="1" x14ac:dyDescent="0.2"/>
    <row r="28" spans="1:139" s="3" customFormat="1" x14ac:dyDescent="0.2">
      <c r="A28" s="3" t="s">
        <v>11</v>
      </c>
      <c r="B28" s="3">
        <f>+B18/B16</f>
        <v>0.24526555955046656</v>
      </c>
      <c r="C28" s="3">
        <f>+C18/C16</f>
        <v>0.24219051544233575</v>
      </c>
      <c r="D28" s="3">
        <f>+D18/D16</f>
        <v>0.24343478630744766</v>
      </c>
      <c r="E28" s="3">
        <f>+E18/E16</f>
        <v>0.24343478630744766</v>
      </c>
      <c r="F28" s="3">
        <f>+F18/F16</f>
        <v>0.24305158863040952</v>
      </c>
      <c r="G28" s="3">
        <f>+G18/G16</f>
        <v>0.24612700455355374</v>
      </c>
      <c r="H28" s="3">
        <f>+H18/H16</f>
        <v>0.24639312454914056</v>
      </c>
      <c r="I28" s="3">
        <f>+I18/I16</f>
        <v>0.2397153221946029</v>
      </c>
      <c r="J28" s="3">
        <f>+J18/J16</f>
        <v>0.24814250687272457</v>
      </c>
      <c r="K28" s="3">
        <f>+K18/K16</f>
        <v>0.25112941801753919</v>
      </c>
      <c r="L28" s="3">
        <f>+L18/L16</f>
        <v>0.24912140009906361</v>
      </c>
      <c r="M28" s="3">
        <f>+M18/M16</f>
        <v>0.24581011774870676</v>
      </c>
      <c r="Q28" s="3">
        <f t="shared" ref="Q28" si="25">+Q18/Q16</f>
        <v>0.24821853728999316</v>
      </c>
      <c r="R28" s="3">
        <f t="shared" ref="R28:S28" si="26">+R18/R16</f>
        <v>0.24825440491216944</v>
      </c>
      <c r="S28" s="3">
        <f t="shared" si="26"/>
        <v>0.25127247837720118</v>
      </c>
      <c r="T28" s="3">
        <f t="shared" ref="T28:U28" si="27">+T18/T16</f>
        <v>0.25648060295591646</v>
      </c>
      <c r="U28" s="3">
        <f t="shared" si="27"/>
        <v>0.25371994811559273</v>
      </c>
      <c r="V28" s="3">
        <f t="shared" ref="V28:W28" si="28">+V18/V16</f>
        <v>0.25097734275522204</v>
      </c>
      <c r="W28" s="3">
        <f t="shared" si="28"/>
        <v>0.24688528219495995</v>
      </c>
      <c r="X28" s="3">
        <f t="shared" ref="X28:Y28" si="29">+X18/X16</f>
        <v>0.24829786587165184</v>
      </c>
      <c r="Y28" s="3">
        <f t="shared" si="29"/>
        <v>0.25098733487675334</v>
      </c>
      <c r="Z28" s="3">
        <f t="shared" ref="Z28:AA28" si="30">+Z18/Z16</f>
        <v>0.24354974718941963</v>
      </c>
      <c r="AA28" s="3">
        <f t="shared" si="30"/>
        <v>0.24375507231618543</v>
      </c>
      <c r="AB28" s="3">
        <f>+AB18/AB16</f>
        <v>0.24851061330278934</v>
      </c>
      <c r="AC28" s="3">
        <f>+AC18/AC16</f>
        <v>0.24999999999999992</v>
      </c>
      <c r="AD28" s="3">
        <f t="shared" ref="AD28:AL28" si="31">+AD18/AD16</f>
        <v>0.25</v>
      </c>
      <c r="AE28" s="3">
        <f t="shared" si="31"/>
        <v>0.24999999999999997</v>
      </c>
      <c r="AF28" s="3">
        <f t="shared" si="31"/>
        <v>0.24999999999999992</v>
      </c>
      <c r="AG28" s="3">
        <f t="shared" si="31"/>
        <v>0.25000000000000006</v>
      </c>
      <c r="AH28" s="3">
        <f t="shared" si="31"/>
        <v>0.25000000000000006</v>
      </c>
      <c r="AI28" s="3">
        <f t="shared" si="31"/>
        <v>0.25</v>
      </c>
      <c r="AJ28" s="3">
        <f t="shared" si="31"/>
        <v>0.24999999999999994</v>
      </c>
      <c r="AK28" s="3">
        <f t="shared" si="31"/>
        <v>0.24999999999999997</v>
      </c>
      <c r="AL28" s="3">
        <f t="shared" si="31"/>
        <v>0.25000000000000006</v>
      </c>
      <c r="AN28" s="3" t="s">
        <v>112</v>
      </c>
      <c r="AO28" s="3">
        <v>0.08</v>
      </c>
    </row>
    <row r="29" spans="1:139" s="3" customFormat="1" x14ac:dyDescent="0.2">
      <c r="A29" s="3" t="s">
        <v>12</v>
      </c>
      <c r="B29" s="3">
        <f>+B20/B16</f>
        <v>3.7564721090069156E-2</v>
      </c>
      <c r="C29" s="3">
        <f>+C20/C16</f>
        <v>4.4838707567104327E-2</v>
      </c>
      <c r="D29" s="3">
        <f>+D20/D16</f>
        <v>1.7635934115552997E-2</v>
      </c>
      <c r="E29" s="3">
        <f>+E20/E16</f>
        <v>1.7635934115552997E-2</v>
      </c>
      <c r="F29" s="3">
        <f>+F20/F16</f>
        <v>4.0971497232454156E-2</v>
      </c>
      <c r="G29" s="3">
        <f>+G20/G16</f>
        <v>4.5263314195208869E-2</v>
      </c>
      <c r="H29" s="3">
        <f>+H20/H16</f>
        <v>3.8568692321086541E-2</v>
      </c>
      <c r="I29" s="3">
        <f>+I20/I16</f>
        <v>4.1842331405106438E-2</v>
      </c>
      <c r="J29" s="3">
        <f>+J20/J16</f>
        <v>4.2357034945637369E-2</v>
      </c>
      <c r="K29" s="3">
        <f>+K20/K16</f>
        <v>4.6889302270646943E-2</v>
      </c>
      <c r="L29" s="3">
        <f>+L20/L16</f>
        <v>3.9554685473028754E-2</v>
      </c>
      <c r="M29" s="3">
        <f>+M20/M16</f>
        <v>4.3527144233858013E-2</v>
      </c>
      <c r="Q29" s="3">
        <f t="shared" ref="Q29" si="32">+Q20/Q16</f>
        <v>5.6418934523634563E-2</v>
      </c>
      <c r="R29" s="3">
        <f t="shared" ref="R29:S29" si="33">+R20/R16</f>
        <v>5.5898165555100264E-2</v>
      </c>
      <c r="S29" s="3">
        <f t="shared" si="33"/>
        <v>4.9996888805923713E-2</v>
      </c>
      <c r="T29" s="3">
        <f t="shared" ref="T29:U29" si="34">+T20/T16</f>
        <v>4.6851749325441013E-2</v>
      </c>
      <c r="U29" s="3">
        <f t="shared" si="34"/>
        <v>4.084597965795464E-2</v>
      </c>
      <c r="V29" s="3">
        <f t="shared" ref="V29:W29" si="35">+V20/V16</f>
        <v>4.268426628823592E-2</v>
      </c>
      <c r="W29" s="3">
        <f t="shared" si="35"/>
        <v>3.9254605278225219E-2</v>
      </c>
      <c r="X29" s="3">
        <f t="shared" ref="X29:Y29" si="36">+X20/X16</f>
        <v>4.032542193432543E-2</v>
      </c>
      <c r="Y29" s="3">
        <f t="shared" si="36"/>
        <v>4.5293441861602016E-2</v>
      </c>
      <c r="Z29" s="3">
        <f t="shared" ref="Z29:AA29" si="37">+Z20/Z16</f>
        <v>2.9267365937065665E-2</v>
      </c>
      <c r="AA29" s="3">
        <f t="shared" si="37"/>
        <v>4.1678624218130428E-2</v>
      </c>
      <c r="AB29" s="3">
        <f>+AB20/AB16</f>
        <v>4.3096397130626962E-2</v>
      </c>
      <c r="AC29" s="3">
        <f>+AC20/AC16</f>
        <v>0.04</v>
      </c>
      <c r="AD29" s="3">
        <f t="shared" ref="AD29:AL29" si="38">+AD20/AD16</f>
        <v>0.04</v>
      </c>
      <c r="AE29" s="3">
        <f t="shared" si="38"/>
        <v>0.04</v>
      </c>
      <c r="AF29" s="3">
        <f t="shared" si="38"/>
        <v>0.04</v>
      </c>
      <c r="AG29" s="3">
        <f t="shared" si="38"/>
        <v>0.04</v>
      </c>
      <c r="AH29" s="3">
        <f t="shared" si="38"/>
        <v>0.04</v>
      </c>
      <c r="AI29" s="3">
        <f t="shared" si="38"/>
        <v>0.04</v>
      </c>
      <c r="AJ29" s="3">
        <f t="shared" si="38"/>
        <v>4.0000000000000008E-2</v>
      </c>
      <c r="AK29" s="3">
        <f t="shared" si="38"/>
        <v>0.04</v>
      </c>
      <c r="AL29" s="3">
        <f t="shared" si="38"/>
        <v>4.0000000000000008E-2</v>
      </c>
      <c r="AN29" s="3" t="s">
        <v>113</v>
      </c>
      <c r="AO29" s="3">
        <v>-0.01</v>
      </c>
    </row>
    <row r="30" spans="1:139" s="3" customFormat="1" x14ac:dyDescent="0.2">
      <c r="A30" s="3" t="s">
        <v>13</v>
      </c>
      <c r="B30" s="3">
        <f>+B24/B16</f>
        <v>2.8968206316354571E-2</v>
      </c>
      <c r="C30" s="3">
        <f>+C24/C16</f>
        <v>3.2114563094093253E-2</v>
      </c>
      <c r="D30" s="3">
        <f>+D24/D16</f>
        <v>1.2165195369503903E-2</v>
      </c>
      <c r="E30" s="3">
        <f>+E24/E16</f>
        <v>1.2165195369503903E-2</v>
      </c>
      <c r="F30" s="3">
        <f>+F24/F16</f>
        <v>3.2114037333963667E-2</v>
      </c>
      <c r="G30" s="3">
        <f>+G24/G16</f>
        <v>2.5663235002969707E-2</v>
      </c>
      <c r="H30" s="3">
        <f>+H24/H16</f>
        <v>3.3537722942215367E-2</v>
      </c>
      <c r="I30" s="3">
        <f>+I24/I16</f>
        <v>2.8064064040971459E-2</v>
      </c>
      <c r="J30" s="3">
        <f>+J24/J16</f>
        <v>2.7942888277980037E-2</v>
      </c>
      <c r="K30" s="3">
        <f>+K24/K16</f>
        <v>3.4682729500693892E-2</v>
      </c>
      <c r="L30" s="3">
        <f>+L24/L16</f>
        <v>2.8575135033139139E-2</v>
      </c>
      <c r="M30" s="3">
        <f>+M24/M16</f>
        <v>3.1674734428481233E-2</v>
      </c>
      <c r="Q30" s="3">
        <f t="shared" ref="Q30" si="39">+Q24/Q16</f>
        <v>3.4749545448819426E-2</v>
      </c>
      <c r="R30" s="3">
        <f t="shared" ref="R30:S30" si="40">+R24/R16</f>
        <v>3.4621569810419417E-2</v>
      </c>
      <c r="S30" s="3">
        <f t="shared" si="40"/>
        <v>3.1277871113600066E-2</v>
      </c>
      <c r="T30" s="3">
        <f t="shared" ref="T30:U30" si="41">+T24/T16</f>
        <v>2.9417152218789683E-2</v>
      </c>
      <c r="U30" s="3">
        <f t="shared" si="41"/>
        <v>2.7299272698928536E-2</v>
      </c>
      <c r="V30" s="3">
        <f t="shared" ref="V30:W30" si="42">+V24/V16</f>
        <v>3.0223267658751374E-2</v>
      </c>
      <c r="W30" s="3">
        <f t="shared" si="42"/>
        <v>2.5274637188814498E-2</v>
      </c>
      <c r="X30" s="3">
        <f t="shared" ref="X30:Y30" si="43">+X24/X16</f>
        <v>2.4136592798725209E-2</v>
      </c>
      <c r="Y30" s="3">
        <f t="shared" si="43"/>
        <v>3.3784137692621966E-2</v>
      </c>
      <c r="Z30" s="3">
        <f t="shared" ref="Z30:AA30" si="44">+Z24/Z16</f>
        <v>2.121142430514587E-2</v>
      </c>
      <c r="AA30" s="3">
        <f t="shared" si="44"/>
        <v>2.9775074599692034E-2</v>
      </c>
      <c r="AB30" s="3">
        <f>+AB24/AB16</f>
        <v>3.0765729054237613E-2</v>
      </c>
      <c r="AN30" s="3" t="s">
        <v>114</v>
      </c>
      <c r="AO30" s="1">
        <f>+NPV(AO28,AC24:EI24)+Main!L6-Main!L7</f>
        <v>326454.61964985001</v>
      </c>
    </row>
    <row r="31" spans="1:139" s="3" customFormat="1" x14ac:dyDescent="0.2">
      <c r="A31" s="3" t="s">
        <v>14</v>
      </c>
      <c r="B31" s="3">
        <f>+B23/B22</f>
        <v>0.16289038579301898</v>
      </c>
      <c r="C31" s="3">
        <f>+C23/C22</f>
        <v>0.23368716827973773</v>
      </c>
      <c r="D31" s="3">
        <f>+D23/D22</f>
        <v>0.1530751708428246</v>
      </c>
      <c r="E31" s="3">
        <f>+E23/E22</f>
        <v>0.1530751708428246</v>
      </c>
      <c r="F31" s="3">
        <f>+F23/F22</f>
        <v>0.13936301249340138</v>
      </c>
      <c r="G31" s="3">
        <f>+G23/G22</f>
        <v>0.39196716505423629</v>
      </c>
      <c r="H31" s="3">
        <f>+H23/H22</f>
        <v>4.8014121800529566E-2</v>
      </c>
      <c r="I31" s="3">
        <f>+I23/I22</f>
        <v>0.27438115120787354</v>
      </c>
      <c r="J31" s="3">
        <f>+J23/J22</f>
        <v>0.27687870533568337</v>
      </c>
      <c r="K31" s="3">
        <f>+K23/K22</f>
        <v>0.20366101694915253</v>
      </c>
      <c r="L31" s="3">
        <f>+L23/L22</f>
        <v>0.22215088282504014</v>
      </c>
      <c r="M31" s="3">
        <f>+M23/M22</f>
        <v>0.2119333057737357</v>
      </c>
      <c r="Q31" s="3">
        <f t="shared" ref="Q31" si="45">+Q23/Q22</f>
        <v>0.32872323166774819</v>
      </c>
      <c r="R31" s="3">
        <f t="shared" ref="R31:S31" si="46">+R23/R22</f>
        <v>0.32198878987055929</v>
      </c>
      <c r="S31" s="3">
        <f t="shared" si="46"/>
        <v>0.30307791847675386</v>
      </c>
      <c r="T31" s="3">
        <f t="shared" ref="T31:U31" si="47">+T23/T22</f>
        <v>0.30267844074742645</v>
      </c>
      <c r="U31" s="3">
        <f t="shared" si="47"/>
        <v>0.25193055479489568</v>
      </c>
      <c r="V31" s="3">
        <f t="shared" ref="V31:W31" si="48">+V23/V22</f>
        <v>0.2159067984668146</v>
      </c>
      <c r="W31" s="3">
        <f t="shared" si="48"/>
        <v>0.27067959026324484</v>
      </c>
      <c r="X31" s="3">
        <f t="shared" ref="X31:Y31" si="49">+X23/X22</f>
        <v>0.33693622875110546</v>
      </c>
      <c r="Y31" s="3">
        <f t="shared" si="49"/>
        <v>0.19729527918360573</v>
      </c>
      <c r="Z31" s="3">
        <f t="shared" ref="Z31:AA31" si="50">+Z23/Z22</f>
        <v>0.18904109589041096</v>
      </c>
      <c r="AA31" s="3">
        <f t="shared" si="50"/>
        <v>0.22423219167068661</v>
      </c>
      <c r="AB31" s="3">
        <f>+AB23/AB22</f>
        <v>0.22698594251558868</v>
      </c>
      <c r="AC31" s="3">
        <f t="shared" ref="AC31:AL31" si="51">+AC23/AC22</f>
        <v>0.26</v>
      </c>
      <c r="AD31" s="3">
        <f t="shared" si="51"/>
        <v>0.26</v>
      </c>
      <c r="AE31" s="3">
        <f t="shared" si="51"/>
        <v>0.26</v>
      </c>
      <c r="AF31" s="3">
        <f t="shared" si="51"/>
        <v>0.26</v>
      </c>
      <c r="AG31" s="3">
        <f t="shared" si="51"/>
        <v>0.26</v>
      </c>
      <c r="AH31" s="3">
        <f t="shared" si="51"/>
        <v>0.26</v>
      </c>
      <c r="AI31" s="3">
        <f t="shared" si="51"/>
        <v>0.26</v>
      </c>
      <c r="AJ31" s="3">
        <f t="shared" si="51"/>
        <v>0.26</v>
      </c>
      <c r="AK31" s="3">
        <f t="shared" si="51"/>
        <v>0.26</v>
      </c>
      <c r="AL31" s="3">
        <f t="shared" si="51"/>
        <v>0.26</v>
      </c>
      <c r="AN31" s="3" t="s">
        <v>10</v>
      </c>
      <c r="AO31" s="4">
        <f>+AO30/Main!L4</f>
        <v>40.72106155045438</v>
      </c>
    </row>
    <row r="32" spans="1:139" s="3" customFormat="1" x14ac:dyDescent="0.2">
      <c r="AN32" s="3" t="s">
        <v>115</v>
      </c>
      <c r="AO32" s="3">
        <f>+AO31/Main!L3-1</f>
        <v>-0.52092868764171318</v>
      </c>
    </row>
    <row r="33" spans="1:38" s="11" customFormat="1" x14ac:dyDescent="0.2">
      <c r="A33" s="11" t="s">
        <v>15</v>
      </c>
      <c r="F33" s="11">
        <f>+F16/B16-1</f>
        <v>7.5807556739116544E-2</v>
      </c>
      <c r="G33" s="11">
        <f>+G16/C16-1</f>
        <v>5.7392760648702357E-2</v>
      </c>
      <c r="H33" s="11">
        <f>+H16/D16-1</f>
        <v>5.2292671435021809E-2</v>
      </c>
      <c r="I33" s="11">
        <f>+I16/E16-1</f>
        <v>0.13464823018983996</v>
      </c>
      <c r="J33" s="11">
        <f>+J16/F16-1</f>
        <v>6.045265625307783E-2</v>
      </c>
      <c r="K33" s="11">
        <f>+K16/G16-1</f>
        <v>4.765764205107903E-2</v>
      </c>
      <c r="L33" s="11">
        <f>+L16/H16-1</f>
        <v>5.4625506828188453E-2</v>
      </c>
      <c r="M33" s="11">
        <f>+M16/I16-1</f>
        <v>4.1323267335298119E-2</v>
      </c>
      <c r="R33" s="11">
        <f>+R16/Q16-1</f>
        <v>1.9645429083717136E-2</v>
      </c>
      <c r="S33" s="11">
        <f>+S16/R16-1</f>
        <v>-7.2500622875274479E-3</v>
      </c>
      <c r="T33" s="11">
        <f>+T16/S16-1</f>
        <v>7.7634662850267766E-3</v>
      </c>
      <c r="U33" s="11">
        <f>+U16/T16-1</f>
        <v>2.9781444945489843E-2</v>
      </c>
      <c r="V33" s="11">
        <f>+V16/U16-1</f>
        <v>2.8104720161968855E-2</v>
      </c>
      <c r="W33" s="11">
        <f>+W16/V16-1</f>
        <v>1.85826343056541E-2</v>
      </c>
      <c r="X33" s="11">
        <f>+X16/W16-1</f>
        <v>6.7155377086975498E-2</v>
      </c>
      <c r="Y33" s="11">
        <f>+Y16/X16-1</f>
        <v>2.4327954345069625E-2</v>
      </c>
      <c r="Z33" s="11">
        <f>+Z16/Y16-1</f>
        <v>4.7664442326024847E-2</v>
      </c>
      <c r="AA33" s="11">
        <f>+AA16/Z16-1</f>
        <v>8.0112789848913568E-2</v>
      </c>
      <c r="AB33" s="11">
        <f>+AB16/AA16-1</f>
        <v>5.0698475296470091E-2</v>
      </c>
      <c r="AC33" s="11">
        <f t="shared" ref="AC33:AL33" si="52">+AC16/AB16-1</f>
        <v>3.0000000000000027E-2</v>
      </c>
      <c r="AD33" s="11">
        <f t="shared" si="52"/>
        <v>3.0000000000000027E-2</v>
      </c>
      <c r="AE33" s="11">
        <f t="shared" si="52"/>
        <v>3.0000000000000027E-2</v>
      </c>
      <c r="AF33" s="11">
        <f t="shared" si="52"/>
        <v>3.0000000000000027E-2</v>
      </c>
      <c r="AG33" s="11">
        <f t="shared" si="52"/>
        <v>3.0000000000000027E-2</v>
      </c>
      <c r="AH33" s="11">
        <f t="shared" si="52"/>
        <v>3.0000000000000027E-2</v>
      </c>
      <c r="AI33" s="11">
        <f t="shared" si="52"/>
        <v>3.0000000000000027E-2</v>
      </c>
      <c r="AJ33" s="11">
        <f t="shared" si="52"/>
        <v>3.0000000000000027E-2</v>
      </c>
      <c r="AK33" s="11">
        <f t="shared" si="52"/>
        <v>3.0000000000000027E-2</v>
      </c>
      <c r="AL33" s="11">
        <f t="shared" si="52"/>
        <v>3.0000000000000027E-2</v>
      </c>
    </row>
    <row r="34" spans="1:38" x14ac:dyDescent="0.2">
      <c r="AB34" s="17">
        <v>5.7500000000000002E-2</v>
      </c>
    </row>
    <row r="35" spans="1:38" x14ac:dyDescent="0.2">
      <c r="A35" s="1" t="s">
        <v>41</v>
      </c>
      <c r="I35" s="1">
        <f>+I36-I46</f>
        <v>-30590</v>
      </c>
      <c r="J35" s="1">
        <f>+J36-J46</f>
        <v>-33845</v>
      </c>
      <c r="K35" s="1">
        <f>+K36-K46</f>
        <v>-31243</v>
      </c>
      <c r="L35" s="1">
        <f>+L36-L46</f>
        <v>-30421</v>
      </c>
      <c r="M35" s="1">
        <f>+M36-M46</f>
        <v>-30030</v>
      </c>
      <c r="AA35" s="1">
        <f>+AA36-AA46</f>
        <v>-30590</v>
      </c>
      <c r="AB35" s="1">
        <f>+AB36-AB46</f>
        <v>-30030</v>
      </c>
      <c r="AC35" s="1">
        <f>+AB35+AC24</f>
        <v>-10545.905819999996</v>
      </c>
      <c r="AD35" s="1">
        <f t="shared" ref="AD35:AL35" si="53">+AC35+AD24</f>
        <v>10390.09268775901</v>
      </c>
      <c r="AE35" s="1">
        <f t="shared" si="53"/>
        <v>32858.459736035162</v>
      </c>
      <c r="AF35" s="1">
        <f t="shared" si="53"/>
        <v>56943.643860347824</v>
      </c>
      <c r="AG35" s="1">
        <f t="shared" si="53"/>
        <v>82734.264269026316</v>
      </c>
      <c r="AH35" s="1">
        <f t="shared" si="53"/>
        <v>110323.3056269667</v>
      </c>
      <c r="AI35" s="1">
        <f t="shared" si="53"/>
        <v>139808.32164708624</v>
      </c>
      <c r="AJ35" s="1">
        <f t="shared" si="53"/>
        <v>171291.64787983266</v>
      </c>
      <c r="AK35" s="1">
        <f t="shared" si="53"/>
        <v>204880.62410818232</v>
      </c>
      <c r="AL35" s="1">
        <f t="shared" si="53"/>
        <v>240687.82677338016</v>
      </c>
    </row>
    <row r="36" spans="1:38" x14ac:dyDescent="0.2">
      <c r="A36" s="1" t="s">
        <v>18</v>
      </c>
      <c r="I36" s="1">
        <v>9867</v>
      </c>
      <c r="J36" s="1">
        <v>9405</v>
      </c>
      <c r="K36" s="1">
        <v>8811</v>
      </c>
      <c r="L36" s="1">
        <v>10049</v>
      </c>
      <c r="M36" s="1">
        <v>9037</v>
      </c>
      <c r="AA36" s="1">
        <v>9867</v>
      </c>
      <c r="AB36" s="1">
        <v>9037</v>
      </c>
    </row>
    <row r="37" spans="1:38" x14ac:dyDescent="0.2">
      <c r="A37" s="1" t="s">
        <v>42</v>
      </c>
      <c r="I37" s="1">
        <v>8796</v>
      </c>
      <c r="J37" s="1">
        <v>9075</v>
      </c>
      <c r="K37" s="1">
        <v>8650</v>
      </c>
      <c r="L37" s="1">
        <v>10039</v>
      </c>
      <c r="M37" s="1">
        <v>9975</v>
      </c>
      <c r="AA37" s="1">
        <v>8796</v>
      </c>
      <c r="AB37" s="1">
        <v>9975</v>
      </c>
    </row>
    <row r="38" spans="1:38" x14ac:dyDescent="0.2">
      <c r="A38" s="1" t="s">
        <v>43</v>
      </c>
      <c r="I38" s="1">
        <v>54892</v>
      </c>
      <c r="J38" s="1">
        <v>55382</v>
      </c>
      <c r="K38" s="1">
        <v>55611</v>
      </c>
      <c r="L38" s="1">
        <v>63302</v>
      </c>
      <c r="M38" s="1">
        <v>56435</v>
      </c>
      <c r="AA38" s="1">
        <v>54892</v>
      </c>
      <c r="AB38" s="1">
        <v>56435</v>
      </c>
    </row>
    <row r="39" spans="1:38" x14ac:dyDescent="0.2">
      <c r="A39" s="1" t="s">
        <v>44</v>
      </c>
      <c r="I39" s="1">
        <v>3322</v>
      </c>
      <c r="J39" s="1">
        <v>3290</v>
      </c>
      <c r="K39" s="1">
        <v>3438</v>
      </c>
      <c r="L39" s="1">
        <v>3548</v>
      </c>
      <c r="M39" s="1">
        <v>4011</v>
      </c>
      <c r="AA39" s="1">
        <v>3322</v>
      </c>
      <c r="AB39" s="1">
        <v>4011</v>
      </c>
    </row>
    <row r="40" spans="1:38" x14ac:dyDescent="0.2">
      <c r="A40" s="1" t="s">
        <v>45</v>
      </c>
      <c r="I40" s="1">
        <v>110810</v>
      </c>
      <c r="J40" s="1">
        <v>111498</v>
      </c>
      <c r="K40" s="1">
        <v>113818</v>
      </c>
      <c r="L40" s="1">
        <v>116598</v>
      </c>
      <c r="M40" s="1">
        <v>119993</v>
      </c>
      <c r="AA40" s="1">
        <v>110810</v>
      </c>
      <c r="AB40" s="1">
        <v>119993</v>
      </c>
    </row>
    <row r="41" spans="1:38" x14ac:dyDescent="0.2">
      <c r="A41" s="1" t="s">
        <v>66</v>
      </c>
      <c r="I41" s="1">
        <v>13673</v>
      </c>
      <c r="J41" s="1">
        <v>13562</v>
      </c>
      <c r="K41" s="1">
        <v>13579</v>
      </c>
      <c r="L41" s="1">
        <v>13701</v>
      </c>
      <c r="M41" s="1">
        <v>13599</v>
      </c>
      <c r="AA41" s="1">
        <v>13673</v>
      </c>
      <c r="AB41" s="1">
        <v>13599</v>
      </c>
    </row>
    <row r="42" spans="1:38" x14ac:dyDescent="0.2">
      <c r="A42" s="1" t="s">
        <v>65</v>
      </c>
      <c r="I42" s="1">
        <v>5855</v>
      </c>
      <c r="J42" s="1">
        <v>6285</v>
      </c>
      <c r="K42" s="1">
        <v>6341</v>
      </c>
      <c r="L42" s="1">
        <v>6227</v>
      </c>
      <c r="M42" s="1">
        <v>6112</v>
      </c>
      <c r="AA42" s="1">
        <v>5855</v>
      </c>
      <c r="AB42" s="1">
        <v>6112</v>
      </c>
    </row>
    <row r="43" spans="1:38" x14ac:dyDescent="0.2">
      <c r="A43" s="1" t="s">
        <v>46</v>
      </c>
      <c r="I43" s="1">
        <v>28113</v>
      </c>
      <c r="J43" s="1">
        <v>27999</v>
      </c>
      <c r="K43" s="1">
        <v>27930</v>
      </c>
      <c r="L43" s="1">
        <v>27942</v>
      </c>
      <c r="M43" s="1">
        <v>28792</v>
      </c>
      <c r="AA43" s="1">
        <v>28113</v>
      </c>
      <c r="AB43" s="1">
        <v>28792</v>
      </c>
    </row>
    <row r="44" spans="1:38" x14ac:dyDescent="0.2">
      <c r="A44" s="1" t="s">
        <v>47</v>
      </c>
      <c r="I44" s="1">
        <v>17071</v>
      </c>
      <c r="J44" s="1">
        <v>17558</v>
      </c>
      <c r="K44" s="1">
        <v>16262</v>
      </c>
      <c r="L44" s="1">
        <v>11993</v>
      </c>
      <c r="M44" s="1">
        <v>12869</v>
      </c>
      <c r="AA44" s="1">
        <v>17071</v>
      </c>
      <c r="AB44" s="1">
        <v>12869</v>
      </c>
    </row>
    <row r="45" spans="1:38" s="10" customFormat="1" x14ac:dyDescent="0.2">
      <c r="A45" s="10" t="s">
        <v>48</v>
      </c>
      <c r="I45" s="10">
        <f>+SUM(I36:I44)</f>
        <v>252399</v>
      </c>
      <c r="J45" s="10">
        <f>+SUM(J36:J44)</f>
        <v>254054</v>
      </c>
      <c r="K45" s="10">
        <f>+SUM(K36:K44)</f>
        <v>254440</v>
      </c>
      <c r="L45" s="10">
        <f>+SUM(L36:L44)</f>
        <v>263399</v>
      </c>
      <c r="M45" s="10">
        <f>+SUM(M36:M44)</f>
        <v>260823</v>
      </c>
      <c r="AA45" s="10">
        <f>+SUM(AA36:AA44)</f>
        <v>252399</v>
      </c>
      <c r="AB45" s="10">
        <f>+SUM(AB36:AB44)</f>
        <v>260823</v>
      </c>
    </row>
    <row r="46" spans="1:38" x14ac:dyDescent="0.2">
      <c r="A46" s="1" t="s">
        <v>19</v>
      </c>
      <c r="I46" s="1">
        <f>878+3447+36132</f>
        <v>40457</v>
      </c>
      <c r="J46" s="1">
        <f>5457+1865+35928</f>
        <v>43250</v>
      </c>
      <c r="K46" s="1">
        <f>3195+1495+35364</f>
        <v>40054</v>
      </c>
      <c r="L46" s="1">
        <f>3579+3246+33645</f>
        <v>40470</v>
      </c>
      <c r="M46" s="1">
        <f>3068+2598+33401</f>
        <v>39067</v>
      </c>
      <c r="AA46" s="1">
        <f>878+3447+36132</f>
        <v>40457</v>
      </c>
      <c r="AB46" s="1">
        <f>3068+2598+33401</f>
        <v>39067</v>
      </c>
    </row>
    <row r="47" spans="1:38" x14ac:dyDescent="0.2">
      <c r="A47" s="1" t="s">
        <v>49</v>
      </c>
      <c r="I47" s="1">
        <v>56812</v>
      </c>
      <c r="J47" s="1">
        <v>56071</v>
      </c>
      <c r="K47" s="1">
        <v>56716</v>
      </c>
      <c r="L47" s="1">
        <v>62863</v>
      </c>
      <c r="M47" s="1">
        <v>58666</v>
      </c>
      <c r="AA47" s="1">
        <v>56812</v>
      </c>
      <c r="AB47" s="1">
        <v>58666</v>
      </c>
    </row>
    <row r="48" spans="1:38" x14ac:dyDescent="0.2">
      <c r="A48" s="1" t="s">
        <v>90</v>
      </c>
      <c r="I48" s="1">
        <v>0</v>
      </c>
      <c r="J48" s="1">
        <v>5013</v>
      </c>
      <c r="K48" s="1">
        <v>3343</v>
      </c>
      <c r="L48" s="1">
        <v>1674</v>
      </c>
      <c r="M48" s="1">
        <v>0</v>
      </c>
      <c r="AA48" s="1">
        <v>0</v>
      </c>
      <c r="AB48" s="1">
        <v>0</v>
      </c>
    </row>
    <row r="49" spans="1:28" x14ac:dyDescent="0.2">
      <c r="A49" s="1" t="s">
        <v>50</v>
      </c>
      <c r="I49" s="1">
        <v>28759</v>
      </c>
      <c r="J49" s="1">
        <v>24092</v>
      </c>
      <c r="K49" s="1">
        <v>27656</v>
      </c>
      <c r="L49" s="1">
        <v>28117</v>
      </c>
      <c r="M49" s="1">
        <v>29345</v>
      </c>
      <c r="AA49" s="1">
        <v>28759</v>
      </c>
      <c r="AB49" s="1">
        <v>29345</v>
      </c>
    </row>
    <row r="50" spans="1:28" x14ac:dyDescent="0.2">
      <c r="A50" s="1" t="s">
        <v>51</v>
      </c>
      <c r="I50" s="1">
        <v>307</v>
      </c>
      <c r="J50" s="1">
        <v>1276</v>
      </c>
      <c r="K50" s="1">
        <v>576</v>
      </c>
      <c r="L50" s="1">
        <v>783</v>
      </c>
      <c r="M50" s="1">
        <v>608</v>
      </c>
      <c r="AA50" s="1">
        <v>307</v>
      </c>
      <c r="AB50" s="1">
        <v>608</v>
      </c>
    </row>
    <row r="51" spans="1:28" x14ac:dyDescent="0.2">
      <c r="A51" s="1" t="s">
        <v>66</v>
      </c>
      <c r="I51" s="1">
        <f>1487+12943</f>
        <v>14430</v>
      </c>
      <c r="J51" s="1">
        <f>1482+12840</f>
        <v>14322</v>
      </c>
      <c r="K51" s="1">
        <f>1493+12811</f>
        <v>14304</v>
      </c>
      <c r="L51" s="1">
        <f>1507+12927</f>
        <v>14434</v>
      </c>
      <c r="M51" s="1">
        <f>1499+12825</f>
        <v>14324</v>
      </c>
      <c r="AA51" s="1">
        <f>1487+12943</f>
        <v>14430</v>
      </c>
      <c r="AB51" s="1">
        <f>1499+12825</f>
        <v>14324</v>
      </c>
    </row>
    <row r="52" spans="1:28" x14ac:dyDescent="0.2">
      <c r="A52" s="1" t="s">
        <v>65</v>
      </c>
      <c r="I52" s="1">
        <f>725+5709</f>
        <v>6434</v>
      </c>
      <c r="J52" s="1">
        <f>844+6047</f>
        <v>6891</v>
      </c>
      <c r="K52" s="1">
        <f>786+6161</f>
        <v>6947</v>
      </c>
      <c r="L52" s="1">
        <f>789+6056</f>
        <v>6845</v>
      </c>
      <c r="M52" s="1">
        <f>800+5923</f>
        <v>6723</v>
      </c>
      <c r="AA52" s="1">
        <f>725+5709</f>
        <v>6434</v>
      </c>
      <c r="AB52" s="1">
        <f>800+5923</f>
        <v>6723</v>
      </c>
    </row>
    <row r="53" spans="1:28" x14ac:dyDescent="0.2">
      <c r="A53" s="1" t="s">
        <v>52</v>
      </c>
      <c r="I53" s="1">
        <v>14629</v>
      </c>
      <c r="J53" s="1">
        <v>14849</v>
      </c>
      <c r="K53" s="1">
        <v>14072</v>
      </c>
      <c r="L53" s="1">
        <v>13748</v>
      </c>
      <c r="M53" s="1">
        <v>14398</v>
      </c>
      <c r="AA53" s="1">
        <v>14629</v>
      </c>
      <c r="AB53" s="1">
        <v>14398</v>
      </c>
    </row>
    <row r="54" spans="1:28" x14ac:dyDescent="0.2">
      <c r="A54" s="1" t="s">
        <v>67</v>
      </c>
      <c r="I54" s="1">
        <v>222</v>
      </c>
      <c r="J54" s="1">
        <v>217</v>
      </c>
      <c r="K54" s="1">
        <v>207</v>
      </c>
      <c r="L54" s="1">
        <v>189</v>
      </c>
      <c r="M54" s="1">
        <v>271</v>
      </c>
      <c r="AA54" s="1">
        <v>222</v>
      </c>
      <c r="AB54" s="1">
        <v>271</v>
      </c>
    </row>
    <row r="55" spans="1:28" s="10" customFormat="1" x14ac:dyDescent="0.2">
      <c r="A55" s="10" t="s">
        <v>53</v>
      </c>
      <c r="I55" s="10">
        <f>+SUM(I46:I54)</f>
        <v>162050</v>
      </c>
      <c r="J55" s="10">
        <f>+SUM(J46:J54)</f>
        <v>165981</v>
      </c>
      <c r="K55" s="10">
        <f>+SUM(K46:K54)</f>
        <v>163875</v>
      </c>
      <c r="L55" s="10">
        <f>+SUM(L46:L54)</f>
        <v>169123</v>
      </c>
      <c r="M55" s="10">
        <f>+SUM(M46:M54)</f>
        <v>163402</v>
      </c>
      <c r="AA55" s="10">
        <f>+SUM(AA46:AA54)</f>
        <v>162050</v>
      </c>
      <c r="AB55" s="10">
        <f>+SUM(AB46:AB54)</f>
        <v>163402</v>
      </c>
    </row>
    <row r="56" spans="1:28" x14ac:dyDescent="0.2">
      <c r="A56" s="1" t="s">
        <v>54</v>
      </c>
      <c r="I56" s="1">
        <v>90349</v>
      </c>
      <c r="J56" s="1">
        <v>88073</v>
      </c>
      <c r="K56" s="1">
        <v>90565</v>
      </c>
      <c r="L56" s="1">
        <v>94276</v>
      </c>
      <c r="M56" s="1">
        <v>97421</v>
      </c>
      <c r="AA56" s="1">
        <v>90349</v>
      </c>
      <c r="AB56" s="1">
        <v>97421</v>
      </c>
    </row>
    <row r="57" spans="1:28" x14ac:dyDescent="0.2">
      <c r="A57" s="1" t="s">
        <v>55</v>
      </c>
      <c r="I57" s="1">
        <f>+I56+I55</f>
        <v>252399</v>
      </c>
      <c r="J57" s="1">
        <f>+J56+J55</f>
        <v>254054</v>
      </c>
      <c r="K57" s="1">
        <f>+K56+K55</f>
        <v>254440</v>
      </c>
      <c r="L57" s="1">
        <f>+L56+L55</f>
        <v>263399</v>
      </c>
      <c r="M57" s="1">
        <f>+M56+M55</f>
        <v>260823</v>
      </c>
      <c r="AA57" s="1">
        <f>+AA56+AA55</f>
        <v>252399</v>
      </c>
      <c r="AB57" s="1">
        <f>+AB56+AB55</f>
        <v>260823</v>
      </c>
    </row>
    <row r="59" spans="1:28" x14ac:dyDescent="0.2">
      <c r="A59" s="1" t="s">
        <v>68</v>
      </c>
      <c r="I59" s="1">
        <f>+SUM(F24:I24)</f>
        <v>19298</v>
      </c>
      <c r="J59" s="1">
        <f>+SUM(G24:J24)</f>
        <v>18920</v>
      </c>
      <c r="K59" s="1">
        <f>+SUM(H24:K24)</f>
        <v>20645</v>
      </c>
      <c r="L59" s="1">
        <f>+SUM(I24:L24)</f>
        <v>20098</v>
      </c>
      <c r="M59" s="1">
        <f>+SUM(J24:M24)</f>
        <v>20951</v>
      </c>
      <c r="AA59" s="1">
        <f>+AA24</f>
        <v>19298</v>
      </c>
      <c r="AB59" s="1">
        <f>+AB24</f>
        <v>20951</v>
      </c>
    </row>
    <row r="60" spans="1:28" s="3" customFormat="1" x14ac:dyDescent="0.2">
      <c r="A60" s="3" t="s">
        <v>69</v>
      </c>
      <c r="I60" s="3">
        <f t="shared" ref="I60:L60" si="54">+I59/(I37+I38+I39+I40+I41+I42+I44)</f>
        <v>9.0001352492083256E-2</v>
      </c>
      <c r="J60" s="3">
        <f t="shared" si="54"/>
        <v>8.7329794599584579E-2</v>
      </c>
      <c r="K60" s="3">
        <f t="shared" si="54"/>
        <v>9.4832773692116179E-2</v>
      </c>
      <c r="L60" s="3">
        <f t="shared" si="54"/>
        <v>8.9162762634866555E-2</v>
      </c>
      <c r="M60" s="3">
        <f>+M59/(M37+M38+M39+M40+M41+M42+M44)</f>
        <v>9.3953200534543535E-2</v>
      </c>
      <c r="AA60" s="3">
        <f>+AA59/(AA37+AA38+AA39+AA40+AA41+AA42+AA44)</f>
        <v>9.0001352492083256E-2</v>
      </c>
      <c r="AB60" s="3">
        <f>+AB59/(AB37+AB38+AB39+AB40+AB41+AB42+AB44)</f>
        <v>9.3953200534543535E-2</v>
      </c>
    </row>
    <row r="62" spans="1:28" x14ac:dyDescent="0.2">
      <c r="A62" s="1" t="s">
        <v>70</v>
      </c>
      <c r="J62" s="1">
        <f>+J24</f>
        <v>4513</v>
      </c>
      <c r="K62" s="1">
        <f>+K24</f>
        <v>5873</v>
      </c>
      <c r="L62" s="1">
        <f>+L24</f>
        <v>4846</v>
      </c>
      <c r="M62" s="1">
        <f>+M24</f>
        <v>5719</v>
      </c>
      <c r="AB62" s="1">
        <f>+AB24</f>
        <v>20951</v>
      </c>
    </row>
    <row r="63" spans="1:28" x14ac:dyDescent="0.2">
      <c r="A63" s="1" t="s">
        <v>71</v>
      </c>
      <c r="J63" s="1">
        <v>5307</v>
      </c>
      <c r="K63" s="1">
        <f>10018-J63</f>
        <v>4711</v>
      </c>
      <c r="L63" s="1">
        <f>14732-SUM(J63:K63)</f>
        <v>4714</v>
      </c>
      <c r="M63" s="1">
        <f>+AB63-SUM(J63:L63)</f>
        <v>5425</v>
      </c>
      <c r="AB63" s="1">
        <v>20157</v>
      </c>
    </row>
    <row r="64" spans="1:28" x14ac:dyDescent="0.2">
      <c r="A64" s="1" t="s">
        <v>72</v>
      </c>
      <c r="J64" s="1">
        <v>3128</v>
      </c>
      <c r="K64" s="1">
        <f>6339-J64</f>
        <v>3211</v>
      </c>
      <c r="L64" s="1">
        <f>9599-SUM(J64:K64)</f>
        <v>3260</v>
      </c>
      <c r="M64" s="1">
        <f t="shared" ref="M64:M68" si="55">+AB64-SUM(J64:L64)</f>
        <v>3374</v>
      </c>
      <c r="AB64" s="1">
        <v>12973</v>
      </c>
    </row>
    <row r="65" spans="1:28" x14ac:dyDescent="0.2">
      <c r="A65" s="1" t="s">
        <v>73</v>
      </c>
      <c r="J65" s="1">
        <v>-639</v>
      </c>
      <c r="K65" s="1">
        <f>519-J65</f>
        <v>1158</v>
      </c>
      <c r="L65" s="1">
        <f>654-SUM(J65:K65)</f>
        <v>135</v>
      </c>
      <c r="M65" s="1">
        <f t="shared" si="55"/>
        <v>224</v>
      </c>
      <c r="AB65" s="1">
        <v>878</v>
      </c>
    </row>
    <row r="66" spans="1:28" x14ac:dyDescent="0.2">
      <c r="A66" s="1" t="s">
        <v>52</v>
      </c>
      <c r="J66" s="1">
        <v>102</v>
      </c>
      <c r="K66" s="1">
        <f>-244-J66</f>
        <v>-346</v>
      </c>
      <c r="L66" s="1">
        <f>-245-SUM(J66:K66)</f>
        <v>-1</v>
      </c>
      <c r="M66" s="1">
        <f t="shared" si="55"/>
        <v>-390</v>
      </c>
      <c r="AB66" s="1">
        <v>-635</v>
      </c>
    </row>
    <row r="67" spans="1:28" x14ac:dyDescent="0.2">
      <c r="A67" s="1" t="s">
        <v>47</v>
      </c>
      <c r="J67" s="1">
        <v>507</v>
      </c>
      <c r="K67" s="1">
        <f>866-J67</f>
        <v>359</v>
      </c>
      <c r="L67" s="1">
        <f>1685-SUM(J67:K67)</f>
        <v>819</v>
      </c>
      <c r="M67" s="1">
        <f t="shared" si="55"/>
        <v>1204</v>
      </c>
      <c r="AB67" s="1">
        <v>2889</v>
      </c>
    </row>
    <row r="68" spans="1:28" x14ac:dyDescent="0.2">
      <c r="A68" s="1" t="s">
        <v>74</v>
      </c>
      <c r="J68" s="1">
        <f>-154-529+213-4649+963</f>
        <v>-4156</v>
      </c>
      <c r="K68" s="1">
        <f>80-1234+1166-1410+257-J68</f>
        <v>3015</v>
      </c>
      <c r="L68" s="1">
        <f>-1395-9200+7406-807+489-SUM(J68:K68)</f>
        <v>-2366</v>
      </c>
      <c r="M68" s="1">
        <f t="shared" si="55"/>
        <v>3688</v>
      </c>
      <c r="AB68" s="1">
        <f>-1106-2755+3228+379+435</f>
        <v>181</v>
      </c>
    </row>
    <row r="69" spans="1:28" s="10" customFormat="1" x14ac:dyDescent="0.2">
      <c r="A69" s="10" t="s">
        <v>75</v>
      </c>
      <c r="J69" s="10">
        <f>+SUM(J63:J68)</f>
        <v>4249</v>
      </c>
      <c r="K69" s="10">
        <f>+SUM(K63:K68)</f>
        <v>12108</v>
      </c>
      <c r="L69" s="10">
        <f>+SUM(L63:L68)</f>
        <v>6561</v>
      </c>
      <c r="M69" s="10">
        <f>+SUM(M63:M68)</f>
        <v>13525</v>
      </c>
      <c r="X69" s="10">
        <v>36074</v>
      </c>
      <c r="Y69" s="10">
        <v>24181</v>
      </c>
      <c r="Z69" s="10">
        <v>28841</v>
      </c>
      <c r="AA69" s="10">
        <v>35726</v>
      </c>
      <c r="AB69" s="10">
        <f>+SUM(AB63:AB68)</f>
        <v>36443</v>
      </c>
    </row>
    <row r="71" spans="1:28" s="10" customFormat="1" x14ac:dyDescent="0.2">
      <c r="A71" s="10" t="s">
        <v>76</v>
      </c>
      <c r="J71" s="10">
        <f>-4676+72</f>
        <v>-4604</v>
      </c>
      <c r="K71" s="10">
        <f>-10507+292-J71</f>
        <v>-5611</v>
      </c>
      <c r="L71" s="10">
        <f>-16696+358-SUM(J71:K71)</f>
        <v>-6123</v>
      </c>
      <c r="M71" s="10">
        <f t="shared" ref="M71:M74" si="56">+AB71-SUM(J71:L71)</f>
        <v>-7013</v>
      </c>
      <c r="X71" s="10">
        <v>-10264</v>
      </c>
      <c r="Y71" s="10">
        <v>-13106</v>
      </c>
      <c r="Z71" s="10">
        <v>-16857</v>
      </c>
      <c r="AA71" s="10">
        <v>-20606</v>
      </c>
      <c r="AB71" s="10">
        <f>-23783+432</f>
        <v>-23351</v>
      </c>
    </row>
    <row r="72" spans="1:28" x14ac:dyDescent="0.2">
      <c r="A72" s="1" t="s">
        <v>77</v>
      </c>
      <c r="J72" s="1">
        <v>0</v>
      </c>
      <c r="K72" s="1">
        <v>0</v>
      </c>
      <c r="L72" s="1">
        <v>3813</v>
      </c>
      <c r="M72" s="1">
        <f t="shared" si="56"/>
        <v>267</v>
      </c>
      <c r="AB72" s="1">
        <v>4080</v>
      </c>
    </row>
    <row r="73" spans="1:28" x14ac:dyDescent="0.2">
      <c r="A73" s="1" t="s">
        <v>78</v>
      </c>
      <c r="J73" s="1">
        <f t="shared" ref="J71:K74" si="57">+Y73-SUM(G73:I73)</f>
        <v>0</v>
      </c>
      <c r="K73" s="1">
        <f t="shared" si="57"/>
        <v>0</v>
      </c>
      <c r="L73" s="1">
        <v>0</v>
      </c>
      <c r="M73" s="1">
        <f t="shared" si="56"/>
        <v>-1896</v>
      </c>
      <c r="AB73" s="1">
        <v>-1896</v>
      </c>
    </row>
    <row r="74" spans="1:28" x14ac:dyDescent="0.2">
      <c r="A74" s="1" t="s">
        <v>47</v>
      </c>
      <c r="J74" s="1">
        <v>195</v>
      </c>
      <c r="K74" s="1">
        <f>3+84-J74</f>
        <v>-108</v>
      </c>
      <c r="L74" s="1">
        <f>-139+3-SUM(J74:K74)</f>
        <v>-223</v>
      </c>
      <c r="M74" s="1">
        <f t="shared" si="56"/>
        <v>-76</v>
      </c>
      <c r="AB74" s="1">
        <v>-212</v>
      </c>
    </row>
    <row r="75" spans="1:28" x14ac:dyDescent="0.2">
      <c r="A75" s="1" t="s">
        <v>79</v>
      </c>
      <c r="J75" s="1">
        <f>+SUM(J71:J74)</f>
        <v>-4409</v>
      </c>
      <c r="K75" s="1">
        <f>+SUM(K71:K74)</f>
        <v>-5719</v>
      </c>
      <c r="L75" s="1">
        <f>+SUM(L71:L74)</f>
        <v>-2533</v>
      </c>
      <c r="M75" s="1">
        <f>+SUM(M71:M74)</f>
        <v>-8718</v>
      </c>
      <c r="AB75" s="1">
        <f>+SUM(AB71:AB74)</f>
        <v>-21379</v>
      </c>
    </row>
    <row r="77" spans="1:28" x14ac:dyDescent="0.2">
      <c r="A77" s="1" t="s">
        <v>19</v>
      </c>
      <c r="J77" s="1">
        <f>4585-1574</f>
        <v>3011</v>
      </c>
      <c r="K77" s="1">
        <f>2315-2817-J77</f>
        <v>-3513</v>
      </c>
      <c r="L77" s="1">
        <f>2680-2817-SUM(J77:K77)</f>
        <v>365</v>
      </c>
      <c r="M77" s="1">
        <f t="shared" ref="M77:M85" si="58">+AB77-SUM(J77:L77)</f>
        <v>-1119</v>
      </c>
      <c r="AB77" s="1">
        <f>2212-3468</f>
        <v>-1256</v>
      </c>
    </row>
    <row r="78" spans="1:28" x14ac:dyDescent="0.2">
      <c r="A78" s="1" t="s">
        <v>80</v>
      </c>
      <c r="J78" s="1">
        <v>-1671</v>
      </c>
      <c r="K78" s="1">
        <f>-3336-J78</f>
        <v>-1665</v>
      </c>
      <c r="L78" s="1">
        <f>-5004-SUM(J78:K78)</f>
        <v>-1668</v>
      </c>
      <c r="M78" s="1">
        <f t="shared" si="58"/>
        <v>-1684</v>
      </c>
      <c r="AB78" s="1">
        <v>-6688</v>
      </c>
    </row>
    <row r="79" spans="1:28" x14ac:dyDescent="0.2">
      <c r="A79" s="1" t="s">
        <v>81</v>
      </c>
      <c r="J79" s="1">
        <v>-1059</v>
      </c>
      <c r="K79" s="1">
        <f>-2072-J79</f>
        <v>-1013</v>
      </c>
      <c r="L79" s="1">
        <f>-3049-SUM(J79:K79)</f>
        <v>-977</v>
      </c>
      <c r="M79" s="1">
        <f t="shared" si="58"/>
        <v>-1445</v>
      </c>
      <c r="AB79" s="1">
        <v>-4494</v>
      </c>
    </row>
    <row r="80" spans="1:28" x14ac:dyDescent="0.2">
      <c r="A80" s="1" t="s">
        <v>82</v>
      </c>
      <c r="J80" s="1">
        <v>0</v>
      </c>
      <c r="K80" s="1">
        <f>-12-J80</f>
        <v>-12</v>
      </c>
      <c r="L80" s="1">
        <f>-17-SUM(J80:K80)</f>
        <v>-5</v>
      </c>
      <c r="M80" s="1">
        <f t="shared" si="58"/>
        <v>-559</v>
      </c>
      <c r="AB80" s="1">
        <v>-576</v>
      </c>
    </row>
    <row r="81" spans="1:28" x14ac:dyDescent="0.2">
      <c r="A81" s="1" t="s">
        <v>83</v>
      </c>
      <c r="J81" s="1">
        <v>15</v>
      </c>
      <c r="K81" s="1">
        <f>29-J81</f>
        <v>14</v>
      </c>
      <c r="L81" s="1">
        <f>35-SUM(J81:K81)</f>
        <v>6</v>
      </c>
      <c r="M81" s="1">
        <f t="shared" si="58"/>
        <v>327</v>
      </c>
      <c r="AB81" s="1">
        <v>362</v>
      </c>
    </row>
    <row r="82" spans="1:28" x14ac:dyDescent="0.2">
      <c r="A82" s="1" t="s">
        <v>84</v>
      </c>
      <c r="J82" s="1">
        <v>0</v>
      </c>
      <c r="K82" s="1">
        <v>0</v>
      </c>
      <c r="L82" s="14">
        <v>0</v>
      </c>
      <c r="M82" s="1">
        <f t="shared" si="58"/>
        <v>0</v>
      </c>
      <c r="AB82" s="1">
        <v>0</v>
      </c>
    </row>
    <row r="83" spans="1:28" x14ac:dyDescent="0.2">
      <c r="A83" s="1" t="s">
        <v>47</v>
      </c>
      <c r="J83" s="1">
        <v>-617</v>
      </c>
      <c r="K83" s="1">
        <f>-1052-J83</f>
        <v>-435</v>
      </c>
      <c r="L83" s="1">
        <f>-1501-SUM(J83:K83)</f>
        <v>-449</v>
      </c>
      <c r="M83" s="1">
        <f t="shared" si="58"/>
        <v>-669</v>
      </c>
      <c r="AB83" s="1">
        <v>-2170</v>
      </c>
    </row>
    <row r="84" spans="1:28" x14ac:dyDescent="0.2">
      <c r="A84" s="1" t="s">
        <v>85</v>
      </c>
      <c r="J84" s="1">
        <f>+SUM(J77:J83)</f>
        <v>-321</v>
      </c>
      <c r="K84" s="1">
        <f>+SUM(K77:K83)</f>
        <v>-6624</v>
      </c>
      <c r="L84" s="1">
        <f>+SUM(L77:L83)</f>
        <v>-2728</v>
      </c>
      <c r="M84" s="1">
        <f>+SUM(M77:M83)</f>
        <v>-5149</v>
      </c>
      <c r="AB84" s="1">
        <f>+SUM(AB77:AB83)</f>
        <v>-14822</v>
      </c>
    </row>
    <row r="85" spans="1:28" x14ac:dyDescent="0.2">
      <c r="A85" s="1" t="s">
        <v>86</v>
      </c>
      <c r="J85" s="1">
        <v>3</v>
      </c>
      <c r="K85" s="1">
        <f>-340-J85</f>
        <v>-343</v>
      </c>
      <c r="L85" s="1">
        <f>-351-SUM(J85:K85)</f>
        <v>-11</v>
      </c>
      <c r="M85" s="1">
        <f t="shared" si="58"/>
        <v>-290</v>
      </c>
      <c r="AB85" s="1">
        <v>-641</v>
      </c>
    </row>
    <row r="86" spans="1:28" x14ac:dyDescent="0.2">
      <c r="A86" s="1" t="s">
        <v>87</v>
      </c>
      <c r="J86" s="1">
        <f>+J69+J75+J84+J85</f>
        <v>-478</v>
      </c>
      <c r="K86" s="1">
        <f>+K69+K75+K84+K85</f>
        <v>-578</v>
      </c>
      <c r="L86" s="1">
        <f>+L69+L75+L84+L85</f>
        <v>1289</v>
      </c>
      <c r="M86" s="1">
        <f>+M69+M75+M84+M85</f>
        <v>-632</v>
      </c>
      <c r="AB86" s="1">
        <f>+AB69+AB75+AB84+AB85</f>
        <v>-399</v>
      </c>
    </row>
    <row r="88" spans="1:28" s="10" customFormat="1" x14ac:dyDescent="0.2">
      <c r="A88" s="10" t="s">
        <v>88</v>
      </c>
      <c r="J88" s="10">
        <f>+J69+J71</f>
        <v>-355</v>
      </c>
      <c r="K88" s="10">
        <f>+K69+K71</f>
        <v>6497</v>
      </c>
      <c r="L88" s="10">
        <f>+L69+L71</f>
        <v>438</v>
      </c>
      <c r="M88" s="10">
        <f>+AB88-SUM(J88:L88)</f>
        <v>6512</v>
      </c>
      <c r="X88" s="10">
        <f t="shared" ref="Q88:AA88" si="59">+X69+X71</f>
        <v>25810</v>
      </c>
      <c r="Y88" s="10">
        <f t="shared" si="59"/>
        <v>11075</v>
      </c>
      <c r="Z88" s="10">
        <f t="shared" si="59"/>
        <v>11984</v>
      </c>
      <c r="AA88" s="10">
        <f t="shared" si="59"/>
        <v>15120</v>
      </c>
      <c r="AB88" s="10">
        <f>+AB69+AB71</f>
        <v>13092</v>
      </c>
    </row>
    <row r="89" spans="1:28" x14ac:dyDescent="0.2">
      <c r="A89" s="1" t="s">
        <v>89</v>
      </c>
      <c r="M89" s="1">
        <f>+SUM(J88:M88)</f>
        <v>13092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2025-03-28T15:39:33Z</dcterms:created>
  <dcterms:modified xsi:type="dcterms:W3CDTF">2025-04-20T10:38:57Z</dcterms:modified>
</cp:coreProperties>
</file>