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Cybersecurities\"/>
    </mc:Choice>
  </mc:AlternateContent>
  <xr:revisionPtr revIDLastSave="0" documentId="13_ncr:1_{97801BF2-CBD1-4A73-9B46-8CB55CB91ED6}" xr6:coauthVersionLast="47" xr6:coauthVersionMax="47" xr10:uidLastSave="{00000000-0000-0000-0000-000000000000}"/>
  <bookViews>
    <workbookView xWindow="60" yWindow="105" windowWidth="14460" windowHeight="15375" activeTab="1" xr2:uid="{EBC971E0-DCB8-4E4F-989B-F51B1AD4F14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9" i="2" l="1"/>
  <c r="N68" i="2"/>
  <c r="K69" i="2"/>
  <c r="L69" i="2" s="1"/>
  <c r="M69" i="2" s="1"/>
  <c r="O69" i="2"/>
  <c r="P69" i="2"/>
  <c r="Q69" i="2" s="1"/>
  <c r="AD11" i="2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Q32" i="2" l="1"/>
  <c r="AD10" i="2" l="1"/>
  <c r="AD31" i="2" s="1"/>
  <c r="AB31" i="2"/>
  <c r="AA31" i="2"/>
  <c r="AC31" i="2"/>
  <c r="AD9" i="2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D6" i="2"/>
  <c r="AD27" i="2" s="1"/>
  <c r="M73" i="2"/>
  <c r="N73" i="2" s="1"/>
  <c r="L80" i="2"/>
  <c r="L78" i="2"/>
  <c r="M78" i="2" s="1"/>
  <c r="L77" i="2"/>
  <c r="M77" i="2" s="1"/>
  <c r="L67" i="2"/>
  <c r="M67" i="2" s="1"/>
  <c r="N67" i="2" s="1"/>
  <c r="L66" i="2"/>
  <c r="M66" i="2" s="1"/>
  <c r="N66" i="2" s="1"/>
  <c r="L64" i="2"/>
  <c r="M64" i="2" s="1"/>
  <c r="N64" i="2" s="1"/>
  <c r="L63" i="2"/>
  <c r="M63" i="2" s="1"/>
  <c r="L62" i="2"/>
  <c r="L60" i="2"/>
  <c r="M60" i="2" s="1"/>
  <c r="K81" i="2"/>
  <c r="K74" i="2"/>
  <c r="L74" i="2" s="1"/>
  <c r="K72" i="2"/>
  <c r="K61" i="2"/>
  <c r="L61" i="2" s="1"/>
  <c r="Q77" i="2"/>
  <c r="P80" i="2"/>
  <c r="Q80" i="2" s="1"/>
  <c r="P78" i="2"/>
  <c r="Q78" i="2" s="1"/>
  <c r="P73" i="2"/>
  <c r="Q73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0" i="2"/>
  <c r="Q60" i="2" s="1"/>
  <c r="O81" i="2"/>
  <c r="O74" i="2"/>
  <c r="P74" i="2" s="1"/>
  <c r="O72" i="2"/>
  <c r="P72" i="2" s="1"/>
  <c r="O61" i="2"/>
  <c r="P61" i="2" s="1"/>
  <c r="O49" i="2"/>
  <c r="O48" i="2"/>
  <c r="O42" i="2"/>
  <c r="O38" i="2"/>
  <c r="O36" i="2"/>
  <c r="O35" i="2" s="1"/>
  <c r="P49" i="2"/>
  <c r="P48" i="2"/>
  <c r="P42" i="2"/>
  <c r="P38" i="2"/>
  <c r="P36" i="2"/>
  <c r="P35" i="2" s="1"/>
  <c r="N49" i="2"/>
  <c r="N48" i="2"/>
  <c r="N42" i="2"/>
  <c r="N38" i="2"/>
  <c r="N36" i="2"/>
  <c r="N35" i="2" s="1"/>
  <c r="Q49" i="2"/>
  <c r="Q48" i="2"/>
  <c r="Q42" i="2"/>
  <c r="Q38" i="2"/>
  <c r="Q36" i="2"/>
  <c r="Q35" i="2" s="1"/>
  <c r="AQ29" i="2" s="1"/>
  <c r="I33" i="2"/>
  <c r="H33" i="2"/>
  <c r="G33" i="2"/>
  <c r="F21" i="2"/>
  <c r="F18" i="2"/>
  <c r="F16" i="2"/>
  <c r="F15" i="2"/>
  <c r="F14" i="2"/>
  <c r="F11" i="2"/>
  <c r="F10" i="2"/>
  <c r="F9" i="2"/>
  <c r="F7" i="2"/>
  <c r="F6" i="2"/>
  <c r="J21" i="2"/>
  <c r="J18" i="2"/>
  <c r="J16" i="2"/>
  <c r="J15" i="2"/>
  <c r="J14" i="2"/>
  <c r="J11" i="2"/>
  <c r="J10" i="2"/>
  <c r="J9" i="2"/>
  <c r="J7" i="2"/>
  <c r="J6" i="2"/>
  <c r="C12" i="2"/>
  <c r="C8" i="2"/>
  <c r="C26" i="2" s="1"/>
  <c r="G12" i="2"/>
  <c r="G8" i="2"/>
  <c r="G26" i="2" s="1"/>
  <c r="D12" i="2"/>
  <c r="D8" i="2"/>
  <c r="H12" i="2"/>
  <c r="H8" i="2"/>
  <c r="H26" i="2" s="1"/>
  <c r="E12" i="2"/>
  <c r="E8" i="2"/>
  <c r="I12" i="2"/>
  <c r="I8" i="2"/>
  <c r="I26" i="2" s="1"/>
  <c r="N21" i="2"/>
  <c r="N18" i="2"/>
  <c r="N16" i="2"/>
  <c r="N15" i="2"/>
  <c r="N14" i="2"/>
  <c r="N11" i="2"/>
  <c r="N10" i="2"/>
  <c r="N9" i="2"/>
  <c r="N7" i="2"/>
  <c r="N6" i="2"/>
  <c r="AA12" i="2"/>
  <c r="AA8" i="2"/>
  <c r="AB33" i="2"/>
  <c r="AB12" i="2"/>
  <c r="AB8" i="2"/>
  <c r="AC33" i="2"/>
  <c r="AC12" i="2"/>
  <c r="AC8" i="2"/>
  <c r="K33" i="2"/>
  <c r="K12" i="2"/>
  <c r="K8" i="2"/>
  <c r="O33" i="2"/>
  <c r="O12" i="2"/>
  <c r="O8" i="2"/>
  <c r="O26" i="2" s="1"/>
  <c r="L33" i="2"/>
  <c r="L12" i="2"/>
  <c r="L8" i="2"/>
  <c r="P33" i="2"/>
  <c r="P12" i="2"/>
  <c r="P8" i="2"/>
  <c r="P26" i="2" s="1"/>
  <c r="M33" i="2"/>
  <c r="M12" i="2"/>
  <c r="M8" i="2"/>
  <c r="M26" i="2" s="1"/>
  <c r="Q33" i="2"/>
  <c r="Q12" i="2"/>
  <c r="Q8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I7" i="1"/>
  <c r="I6" i="1"/>
  <c r="I9" i="1" s="1"/>
  <c r="AC35" i="2" l="1"/>
  <c r="AD7" i="2"/>
  <c r="AD8" i="2" s="1"/>
  <c r="AD26" i="2" s="1"/>
  <c r="AE6" i="2"/>
  <c r="AD12" i="2"/>
  <c r="AD33" i="2"/>
  <c r="P70" i="2"/>
  <c r="P84" i="2" s="1"/>
  <c r="O75" i="2"/>
  <c r="M80" i="2"/>
  <c r="M81" i="2" s="1"/>
  <c r="N8" i="2"/>
  <c r="N26" i="2" s="1"/>
  <c r="Q72" i="2"/>
  <c r="L81" i="2"/>
  <c r="N78" i="2"/>
  <c r="Q61" i="2"/>
  <c r="Q70" i="2" s="1"/>
  <c r="R33" i="2"/>
  <c r="Q81" i="2"/>
  <c r="L70" i="2"/>
  <c r="Q74" i="2"/>
  <c r="P75" i="2"/>
  <c r="M74" i="2"/>
  <c r="N74" i="2"/>
  <c r="N63" i="2"/>
  <c r="M61" i="2"/>
  <c r="N61" i="2" s="1"/>
  <c r="O70" i="2"/>
  <c r="M62" i="2"/>
  <c r="K75" i="2"/>
  <c r="K70" i="2"/>
  <c r="P81" i="2"/>
  <c r="L72" i="2"/>
  <c r="L75" i="2" s="1"/>
  <c r="N60" i="2"/>
  <c r="N52" i="2"/>
  <c r="N54" i="2" s="1"/>
  <c r="N77" i="2"/>
  <c r="J8" i="2"/>
  <c r="J26" i="2" s="1"/>
  <c r="N44" i="2"/>
  <c r="F8" i="2"/>
  <c r="F26" i="2" s="1"/>
  <c r="J12" i="2"/>
  <c r="Q44" i="2"/>
  <c r="N12" i="2"/>
  <c r="Q52" i="2"/>
  <c r="Q54" i="2" s="1"/>
  <c r="Q13" i="2"/>
  <c r="F12" i="2"/>
  <c r="O52" i="2"/>
  <c r="O54" i="2" s="1"/>
  <c r="O44" i="2"/>
  <c r="P52" i="2"/>
  <c r="P54" i="2" s="1"/>
  <c r="P44" i="2"/>
  <c r="Q26" i="2"/>
  <c r="J33" i="2"/>
  <c r="N33" i="2"/>
  <c r="C13" i="2"/>
  <c r="G13" i="2"/>
  <c r="D13" i="2"/>
  <c r="D27" i="2" s="1"/>
  <c r="D26" i="2"/>
  <c r="H13" i="2"/>
  <c r="E13" i="2"/>
  <c r="E27" i="2" s="1"/>
  <c r="E26" i="2"/>
  <c r="I13" i="2"/>
  <c r="AA13" i="2"/>
  <c r="AA27" i="2" s="1"/>
  <c r="AA26" i="2"/>
  <c r="AB13" i="2"/>
  <c r="AB27" i="2" s="1"/>
  <c r="AB26" i="2"/>
  <c r="AC13" i="2"/>
  <c r="AC27" i="2" s="1"/>
  <c r="AC26" i="2"/>
  <c r="K13" i="2"/>
  <c r="K27" i="2" s="1"/>
  <c r="K26" i="2"/>
  <c r="O13" i="2"/>
  <c r="L13" i="2"/>
  <c r="L17" i="2" s="1"/>
  <c r="L26" i="2"/>
  <c r="P13" i="2"/>
  <c r="M13" i="2"/>
  <c r="M27" i="2" s="1"/>
  <c r="L82" i="2" l="1"/>
  <c r="N13" i="2"/>
  <c r="N27" i="2" s="1"/>
  <c r="J13" i="2"/>
  <c r="J17" i="2" s="1"/>
  <c r="AE7" i="2"/>
  <c r="AF6" i="2"/>
  <c r="AE10" i="2"/>
  <c r="Q75" i="2"/>
  <c r="Q82" i="2" s="1"/>
  <c r="AD14" i="2"/>
  <c r="AD17" i="2" s="1"/>
  <c r="N80" i="2"/>
  <c r="N81" i="2" s="1"/>
  <c r="M70" i="2"/>
  <c r="AF10" i="2"/>
  <c r="AE8" i="2"/>
  <c r="AE33" i="2"/>
  <c r="Q84" i="2"/>
  <c r="N62" i="2"/>
  <c r="F13" i="2"/>
  <c r="F27" i="2" s="1"/>
  <c r="P82" i="2"/>
  <c r="K84" i="2"/>
  <c r="K82" i="2"/>
  <c r="M72" i="2"/>
  <c r="M75" i="2" s="1"/>
  <c r="O84" i="2"/>
  <c r="O82" i="2"/>
  <c r="L84" i="2"/>
  <c r="N70" i="2"/>
  <c r="Q17" i="2"/>
  <c r="Q27" i="2"/>
  <c r="D17" i="2"/>
  <c r="D19" i="2" s="1"/>
  <c r="L27" i="2"/>
  <c r="E17" i="2"/>
  <c r="E29" i="2" s="1"/>
  <c r="J27" i="2"/>
  <c r="C27" i="2"/>
  <c r="C17" i="2"/>
  <c r="G27" i="2"/>
  <c r="G17" i="2"/>
  <c r="H27" i="2"/>
  <c r="H17" i="2"/>
  <c r="I27" i="2"/>
  <c r="I17" i="2"/>
  <c r="AA17" i="2"/>
  <c r="AA29" i="2" s="1"/>
  <c r="AB17" i="2"/>
  <c r="AB29" i="2" s="1"/>
  <c r="AC17" i="2"/>
  <c r="AC29" i="2" s="1"/>
  <c r="K17" i="2"/>
  <c r="K29" i="2" s="1"/>
  <c r="O27" i="2"/>
  <c r="O17" i="2"/>
  <c r="L29" i="2"/>
  <c r="L19" i="2"/>
  <c r="L59" i="2" s="1"/>
  <c r="P27" i="2"/>
  <c r="P17" i="2"/>
  <c r="M17" i="2"/>
  <c r="M29" i="2" s="1"/>
  <c r="N17" i="2" l="1"/>
  <c r="N19" i="2" s="1"/>
  <c r="N59" i="2" s="1"/>
  <c r="M82" i="2"/>
  <c r="AE12" i="2"/>
  <c r="AE31" i="2"/>
  <c r="AG6" i="2"/>
  <c r="AF7" i="2"/>
  <c r="AF8" i="2" s="1"/>
  <c r="AD18" i="2"/>
  <c r="AD29" i="2" s="1"/>
  <c r="AE26" i="2"/>
  <c r="AE13" i="2"/>
  <c r="AF12" i="2"/>
  <c r="AF31" i="2"/>
  <c r="M84" i="2"/>
  <c r="F17" i="2"/>
  <c r="F29" i="2" s="1"/>
  <c r="AF33" i="2"/>
  <c r="E19" i="2"/>
  <c r="E28" i="2" s="1"/>
  <c r="N72" i="2"/>
  <c r="N75" i="2" s="1"/>
  <c r="N82" i="2" s="1"/>
  <c r="D29" i="2"/>
  <c r="Q19" i="2"/>
  <c r="Q29" i="2"/>
  <c r="J19" i="2"/>
  <c r="J29" i="2"/>
  <c r="C29" i="2"/>
  <c r="C19" i="2"/>
  <c r="G29" i="2"/>
  <c r="G19" i="2"/>
  <c r="D28" i="2"/>
  <c r="D20" i="2"/>
  <c r="H29" i="2"/>
  <c r="H19" i="2"/>
  <c r="I29" i="2"/>
  <c r="I19" i="2"/>
  <c r="AA19" i="2"/>
  <c r="AA28" i="2" s="1"/>
  <c r="AB19" i="2"/>
  <c r="AB28" i="2" s="1"/>
  <c r="AC19" i="2"/>
  <c r="AC28" i="2" s="1"/>
  <c r="K19" i="2"/>
  <c r="K59" i="2" s="1"/>
  <c r="O29" i="2"/>
  <c r="O19" i="2"/>
  <c r="O59" i="2" s="1"/>
  <c r="L28" i="2"/>
  <c r="L20" i="2"/>
  <c r="P19" i="2"/>
  <c r="P59" i="2" s="1"/>
  <c r="P29" i="2"/>
  <c r="M19" i="2"/>
  <c r="M59" i="2" s="1"/>
  <c r="N29" i="2" l="1"/>
  <c r="AH6" i="2"/>
  <c r="AG7" i="2"/>
  <c r="AD19" i="2"/>
  <c r="F19" i="2"/>
  <c r="G56" i="2" s="1"/>
  <c r="AG10" i="2"/>
  <c r="AF26" i="2"/>
  <c r="AF13" i="2"/>
  <c r="AE27" i="2"/>
  <c r="AG12" i="2"/>
  <c r="AG31" i="2"/>
  <c r="AG8" i="2"/>
  <c r="AG33" i="2"/>
  <c r="N84" i="2"/>
  <c r="E20" i="2"/>
  <c r="Q59" i="2"/>
  <c r="Q20" i="2"/>
  <c r="Q56" i="2"/>
  <c r="Q57" i="2" s="1"/>
  <c r="M56" i="2"/>
  <c r="L56" i="2"/>
  <c r="M28" i="2"/>
  <c r="P56" i="2"/>
  <c r="P57" i="2" s="1"/>
  <c r="K56" i="2"/>
  <c r="Q28" i="2"/>
  <c r="K28" i="2"/>
  <c r="N56" i="2"/>
  <c r="N57" i="2" s="1"/>
  <c r="J56" i="2"/>
  <c r="O56" i="2"/>
  <c r="O57" i="2" s="1"/>
  <c r="F56" i="2"/>
  <c r="H56" i="2"/>
  <c r="F28" i="2"/>
  <c r="F20" i="2"/>
  <c r="N28" i="2"/>
  <c r="N20" i="2"/>
  <c r="J28" i="2"/>
  <c r="J20" i="2"/>
  <c r="C28" i="2"/>
  <c r="C20" i="2"/>
  <c r="G28" i="2"/>
  <c r="G20" i="2"/>
  <c r="H28" i="2"/>
  <c r="H20" i="2"/>
  <c r="I28" i="2"/>
  <c r="I20" i="2"/>
  <c r="AA20" i="2"/>
  <c r="AB20" i="2"/>
  <c r="AC20" i="2"/>
  <c r="K20" i="2"/>
  <c r="O28" i="2"/>
  <c r="O20" i="2"/>
  <c r="P28" i="2"/>
  <c r="P20" i="2"/>
  <c r="M20" i="2"/>
  <c r="I56" i="2" l="1"/>
  <c r="AI6" i="2"/>
  <c r="AI10" i="2" s="1"/>
  <c r="AH7" i="2"/>
  <c r="AH8" i="2" s="1"/>
  <c r="AD28" i="2"/>
  <c r="AD20" i="2"/>
  <c r="AD35" i="2"/>
  <c r="AE14" i="2" s="1"/>
  <c r="AE17" i="2" s="1"/>
  <c r="AE18" i="2" s="1"/>
  <c r="AE29" i="2" s="1"/>
  <c r="AH10" i="2"/>
  <c r="AH12" i="2"/>
  <c r="AH31" i="2"/>
  <c r="AF27" i="2"/>
  <c r="AG26" i="2"/>
  <c r="AG13" i="2"/>
  <c r="AG27" i="2" s="1"/>
  <c r="AH33" i="2"/>
  <c r="Q86" i="2"/>
  <c r="N86" i="2"/>
  <c r="P86" i="2"/>
  <c r="O86" i="2"/>
  <c r="AJ6" i="2" l="1"/>
  <c r="AJ10" i="2" s="1"/>
  <c r="AI7" i="2"/>
  <c r="AH26" i="2"/>
  <c r="AH13" i="2"/>
  <c r="AH27" i="2" s="1"/>
  <c r="AE19" i="2"/>
  <c r="AI31" i="2"/>
  <c r="AI12" i="2"/>
  <c r="AI33" i="2"/>
  <c r="AI8" i="2"/>
  <c r="AK6" i="2" l="1"/>
  <c r="AJ7" i="2"/>
  <c r="AJ31" i="2"/>
  <c r="AJ12" i="2"/>
  <c r="AI26" i="2"/>
  <c r="AI13" i="2"/>
  <c r="AI27" i="2" s="1"/>
  <c r="AE20" i="2"/>
  <c r="AE28" i="2"/>
  <c r="AE35" i="2"/>
  <c r="AJ33" i="2"/>
  <c r="AK10" i="2"/>
  <c r="AJ8" i="2"/>
  <c r="AL6" i="2" l="1"/>
  <c r="AK7" i="2"/>
  <c r="AK31" i="2"/>
  <c r="AK12" i="2"/>
  <c r="AF14" i="2"/>
  <c r="AF17" i="2" s="1"/>
  <c r="AF18" i="2" s="1"/>
  <c r="AJ26" i="2"/>
  <c r="AJ13" i="2"/>
  <c r="AJ27" i="2" s="1"/>
  <c r="AK33" i="2"/>
  <c r="AK8" i="2"/>
  <c r="AL10" i="2"/>
  <c r="AL7" i="2" l="1"/>
  <c r="AL8" i="2" s="1"/>
  <c r="AM6" i="2"/>
  <c r="AL31" i="2"/>
  <c r="AL12" i="2"/>
  <c r="AK26" i="2"/>
  <c r="AK13" i="2"/>
  <c r="AK27" i="2" s="1"/>
  <c r="AF19" i="2"/>
  <c r="AF29" i="2"/>
  <c r="AL33" i="2"/>
  <c r="AM10" i="2"/>
  <c r="AN6" i="2" l="1"/>
  <c r="AN7" i="2" s="1"/>
  <c r="AM7" i="2"/>
  <c r="AL26" i="2"/>
  <c r="AL13" i="2"/>
  <c r="AL27" i="2" s="1"/>
  <c r="AM31" i="2"/>
  <c r="AM12" i="2"/>
  <c r="AF28" i="2"/>
  <c r="AF20" i="2"/>
  <c r="AF35" i="2"/>
  <c r="AM8" i="2"/>
  <c r="AM33" i="2"/>
  <c r="AN10" i="2"/>
  <c r="AM26" i="2" l="1"/>
  <c r="AM13" i="2"/>
  <c r="AM27" i="2" s="1"/>
  <c r="AG14" i="2"/>
  <c r="AG17" i="2" s="1"/>
  <c r="AN12" i="2"/>
  <c r="AN31" i="2"/>
  <c r="AN8" i="2"/>
  <c r="AN33" i="2"/>
  <c r="AG18" i="2" l="1"/>
  <c r="AG29" i="2" s="1"/>
  <c r="AN26" i="2"/>
  <c r="AN13" i="2"/>
  <c r="AN27" i="2" s="1"/>
  <c r="AG19" i="2" l="1"/>
  <c r="AG28" i="2" l="1"/>
  <c r="AG20" i="2"/>
  <c r="AG35" i="2"/>
  <c r="AH14" i="2" l="1"/>
  <c r="AH17" i="2" s="1"/>
  <c r="AH18" i="2" l="1"/>
  <c r="AH29" i="2" s="1"/>
  <c r="AH19" i="2" l="1"/>
  <c r="AH20" i="2" s="1"/>
  <c r="AH28" i="2" l="1"/>
  <c r="AH35" i="2"/>
  <c r="AI14" i="2"/>
  <c r="AI17" i="2" s="1"/>
  <c r="AI18" i="2" l="1"/>
  <c r="AI29" i="2" s="1"/>
  <c r="AI19" i="2"/>
  <c r="AI28" i="2" l="1"/>
  <c r="AI20" i="2"/>
  <c r="AI35" i="2"/>
  <c r="AJ14" i="2" l="1"/>
  <c r="AJ17" i="2" s="1"/>
  <c r="AJ18" i="2" l="1"/>
  <c r="AJ29" i="2" s="1"/>
  <c r="AJ19" i="2" l="1"/>
  <c r="AJ28" i="2" l="1"/>
  <c r="AJ20" i="2"/>
  <c r="AJ35" i="2"/>
  <c r="AK14" i="2" l="1"/>
  <c r="AK17" i="2" s="1"/>
  <c r="AK18" i="2" s="1"/>
  <c r="AK19" i="2" l="1"/>
  <c r="AK29" i="2"/>
  <c r="AK28" i="2" l="1"/>
  <c r="AK20" i="2"/>
  <c r="AK35" i="2"/>
  <c r="AL14" i="2" s="1"/>
  <c r="AL17" i="2" s="1"/>
  <c r="AL18" i="2" l="1"/>
  <c r="AL29" i="2" s="1"/>
  <c r="AL19" i="2" l="1"/>
  <c r="AL28" i="2" l="1"/>
  <c r="AL20" i="2"/>
  <c r="AL35" i="2"/>
  <c r="AM14" i="2" l="1"/>
  <c r="AM17" i="2" s="1"/>
  <c r="AM18" i="2" s="1"/>
  <c r="AM19" i="2" l="1"/>
  <c r="AM29" i="2"/>
  <c r="AM28" i="2" l="1"/>
  <c r="AM20" i="2"/>
  <c r="AM35" i="2"/>
  <c r="AN14" i="2" l="1"/>
  <c r="AN17" i="2" s="1"/>
  <c r="AN18" i="2" s="1"/>
  <c r="AN19" i="2" l="1"/>
  <c r="AN29" i="2"/>
  <c r="AO19" i="2" l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AQ28" i="2" s="1"/>
  <c r="AN28" i="2"/>
  <c r="AN20" i="2"/>
  <c r="AN35" i="2"/>
  <c r="AQ30" i="2" l="1"/>
  <c r="AQ31" i="2" s="1"/>
  <c r="AQ3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R6" authorId="0" shapeId="0" xr:uid="{38CAF58D-CE1F-41CA-A63F-4494DAC77678}">
      <text>
        <r>
          <rPr>
            <b/>
            <sz val="9"/>
            <color indexed="81"/>
            <rFont val="Tahoma"/>
            <family val="2"/>
          </rPr>
          <t xml:space="preserve">Dennis Hesselberth:
</t>
        </r>
        <r>
          <rPr>
            <sz val="9"/>
            <color indexed="81"/>
            <rFont val="Tahoma"/>
            <family val="2"/>
          </rPr>
          <t>Guideance
Revenue
565m to 567m</t>
        </r>
      </text>
    </comment>
    <comment ref="AD6" authorId="0" shapeId="0" xr:uid="{0B31702D-8F40-4CC6-B78C-67DEC3273F5C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Guideance
Revenue
2,140b to 2,142b</t>
        </r>
      </text>
    </comment>
    <comment ref="R13" authorId="0" shapeId="0" xr:uid="{049DAA22-8A4B-4ECA-8507-1975C2914E32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Guideance
Non-GAAP OpIn
107m to 109m</t>
        </r>
      </text>
    </comment>
    <comment ref="AD13" authorId="0" shapeId="0" xr:uid="{32BBA663-E6AD-4EAD-920E-66AE88BB6CA1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Guideance
Non-GAAP income from operations
422m to 424m</t>
        </r>
      </text>
    </comment>
    <comment ref="R23" authorId="0" shapeId="0" xr:uid="{CC4D0AD2-31B6-42CB-9D07-624185E2722F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Guideance
Non-GAAP net income per share
0,69 to 0,70</t>
        </r>
      </text>
    </comment>
    <comment ref="AD23" authorId="0" shapeId="0" xr:uid="{657092FA-98DE-41B2-B200-62E35625D6D5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Guideance
Non-GAAP net income per share
2,99 to 3,01</t>
        </r>
      </text>
    </comment>
  </commentList>
</comments>
</file>

<file path=xl/sharedStrings.xml><?xml version="1.0" encoding="utf-8"?>
<sst xmlns="http://schemas.openxmlformats.org/spreadsheetml/2006/main" count="103" uniqueCount="91">
  <si>
    <t>Price</t>
  </si>
  <si>
    <t>Shares</t>
  </si>
  <si>
    <t>MC</t>
  </si>
  <si>
    <t>Cash</t>
  </si>
  <si>
    <t>Debt</t>
  </si>
  <si>
    <t>EV</t>
  </si>
  <si>
    <t>Main!A1</t>
  </si>
  <si>
    <t>Revenue</t>
  </si>
  <si>
    <t>COGS</t>
  </si>
  <si>
    <t>Gross profit</t>
  </si>
  <si>
    <t>S&amp;M</t>
  </si>
  <si>
    <t>R&amp;D</t>
  </si>
  <si>
    <t>G&amp;A</t>
  </si>
  <si>
    <t>OpEx</t>
  </si>
  <si>
    <t>OpIn</t>
  </si>
  <si>
    <t>Interest income</t>
  </si>
  <si>
    <t>Interest expense</t>
  </si>
  <si>
    <t>Other</t>
  </si>
  <si>
    <t>Pretax</t>
  </si>
  <si>
    <t>Taxes</t>
  </si>
  <si>
    <t>Net income</t>
  </si>
  <si>
    <t>Operating margin</t>
  </si>
  <si>
    <t>Net margin</t>
  </si>
  <si>
    <t>Tax rate</t>
  </si>
  <si>
    <t>Revenue y/y</t>
  </si>
  <si>
    <t>Q121</t>
  </si>
  <si>
    <t>Q221</t>
  </si>
  <si>
    <t>Q312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</si>
  <si>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</si>
  <si>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</si>
  <si>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</si>
  <si>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</si>
  <si>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</si>
  <si>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</si>
  <si>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</si>
  <si>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</si>
  <si>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</si>
  <si>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</si>
  <si>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</si>
  <si>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</si>
  <si>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</si>
  <si>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EPS</t>
  </si>
  <si>
    <t>Gross margin</t>
  </si>
  <si>
    <t>Net cash</t>
  </si>
  <si>
    <t>A/R</t>
  </si>
  <si>
    <t>DAC</t>
  </si>
  <si>
    <t>Prepaid</t>
  </si>
  <si>
    <t>PP&amp;E</t>
  </si>
  <si>
    <t>Lease</t>
  </si>
  <si>
    <t>Goodwill</t>
  </si>
  <si>
    <t>Assets</t>
  </si>
  <si>
    <t>A/P</t>
  </si>
  <si>
    <t>Accrued expense and other</t>
  </si>
  <si>
    <t>Accrued compensation</t>
  </si>
  <si>
    <t>DR</t>
  </si>
  <si>
    <t>Liabilties</t>
  </si>
  <si>
    <t>S/E</t>
  </si>
  <si>
    <t>L+S/E</t>
  </si>
  <si>
    <t>Cash flow TTM</t>
  </si>
  <si>
    <t>ROIC</t>
  </si>
  <si>
    <t>Model NI</t>
  </si>
  <si>
    <t>Reported NI</t>
  </si>
  <si>
    <t>D&amp;A</t>
  </si>
  <si>
    <t>SBC</t>
  </si>
  <si>
    <t>Accretion of investments</t>
  </si>
  <si>
    <t>Hedging</t>
  </si>
  <si>
    <t>DT</t>
  </si>
  <si>
    <t>Working capital</t>
  </si>
  <si>
    <t>CFFO</t>
  </si>
  <si>
    <t>CapEx</t>
  </si>
  <si>
    <t>Acquisitions</t>
  </si>
  <si>
    <t>Investments</t>
  </si>
  <si>
    <t>CFFI</t>
  </si>
  <si>
    <t>Stock options</t>
  </si>
  <si>
    <t>ESOP</t>
  </si>
  <si>
    <t>CFFF</t>
  </si>
  <si>
    <t>CIC</t>
  </si>
  <si>
    <t>CFFO+CapEx-SBC</t>
  </si>
  <si>
    <t>Non-GAAP EPS</t>
  </si>
  <si>
    <t>Payment deferred acquisition</t>
  </si>
  <si>
    <t>FCF TTM</t>
  </si>
  <si>
    <t>R&amp;D margin</t>
  </si>
  <si>
    <t>Terminal value</t>
  </si>
  <si>
    <t>Discount rate</t>
  </si>
  <si>
    <t>NPV</t>
  </si>
  <si>
    <t>Total value</t>
  </si>
  <si>
    <t>Per share</t>
  </si>
  <si>
    <t>Current price</t>
  </si>
  <si>
    <t>Upside</t>
  </si>
  <si>
    <t>Billings</t>
  </si>
  <si>
    <t>Billings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</si>
</sst>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2" fillId="0" borderId="0" xfId="1"/>
    <xf numFmtId="9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/>
    <xf numFmtId="4" fontId="0" fillId="0" borderId="0" xfId="0" applyNumberFormat="1"/>
    <xf numFmtId="0" fontId="2" fillId="0" borderId="0" xfId="1" applyNumberFormat="1"/>
    <xf numFmtId="3" fontId="1" fillId="0" borderId="0" xfId="0" applyNumberFormat="1" applyFon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0</xdr:row>
      <xdr:rowOff>28575</xdr:rowOff>
    </xdr:from>
    <xdr:to>
      <xdr:col>17</xdr:col>
      <xdr:colOff>19050</xdr:colOff>
      <xdr:row>88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801712D-F2EE-8A11-04E7-261EA7FFD818}"/>
            </a:ext>
          </a:extLst>
        </xdr:cNvPr>
        <xdr:cNvCxnSpPr/>
      </xdr:nvCxnSpPr>
      <xdr:spPr>
        <a:xfrm>
          <a:off x="11410950" y="28575"/>
          <a:ext cx="0" cy="12601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0</xdr:row>
      <xdr:rowOff>19050</xdr:rowOff>
    </xdr:from>
    <xdr:to>
      <xdr:col>29</xdr:col>
      <xdr:colOff>19050</xdr:colOff>
      <xdr:row>85</xdr:row>
      <xdr:rowOff>57150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CB8E328-C9C6-4DC4-B756-03F5172E9B17}"/>
            </a:ext>
          </a:extLst>
        </xdr:cNvPr>
        <xdr:cNvCxnSpPr/>
      </xdr:nvCxnSpPr>
      <xdr:spPr>
        <a:xfrm>
          <a:off x="18726150" y="19050"/>
          <a:ext cx="0" cy="1218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13CB4-6C20-4807-9902-2F3D64555601}">
  <dimension ref="A1:I9"/>
  <sheetViews>
    <sheetView workbookViewId="0">
      <selection activeCell="I5" sqref="I5"/>
    </sheetView>
  </sheetViews>
  <sheetFormatPr defaultRowHeight="12.75" x14ac:dyDescent="0.2"/>
  <sheetData>
    <row r="1" spans="1:9" x14ac:dyDescent="0.2">
      <c r="A1" s="2"/>
    </row>
    <row r="4" spans="1:9" x14ac:dyDescent="0.2">
      <c r="H4" t="s">
        <v>0</v>
      </c>
      <c r="I4">
        <v>202</v>
      </c>
    </row>
    <row r="5" spans="1:9" x14ac:dyDescent="0.2">
      <c r="H5" t="s">
        <v>1</v>
      </c>
      <c r="I5" s="1">
        <v>151.14908700000001</v>
      </c>
    </row>
    <row r="6" spans="1:9" x14ac:dyDescent="0.2">
      <c r="H6" t="s">
        <v>2</v>
      </c>
      <c r="I6" s="1">
        <f>+I4*I5</f>
        <v>30532.115574000003</v>
      </c>
    </row>
    <row r="7" spans="1:9" x14ac:dyDescent="0.2">
      <c r="H7" t="s">
        <v>3</v>
      </c>
      <c r="I7" s="1">
        <f>1259.197+980.802</f>
        <v>2239.9989999999998</v>
      </c>
    </row>
    <row r="8" spans="1:9" x14ac:dyDescent="0.2">
      <c r="H8" t="s">
        <v>4</v>
      </c>
      <c r="I8" s="1">
        <v>1137.6869999999999</v>
      </c>
    </row>
    <row r="9" spans="1:9" x14ac:dyDescent="0.2">
      <c r="H9" t="s">
        <v>5</v>
      </c>
      <c r="I9" s="1">
        <f>+I6-I7+I8</f>
        <v>29429.803574000005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FB89-C2B1-43E6-A8B3-A7D96E7480B4}">
  <dimension ref="A1:EK86"/>
  <sheetViews>
    <sheetView tabSelected="1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K38" sqref="K38"/>
    </sheetView>
  </sheetViews>
  <sheetFormatPr defaultRowHeight="12.75" x14ac:dyDescent="0.2"/>
  <cols>
    <col min="1" max="1" width="3.5703125" style="1" customWidth="1"/>
    <col min="2" max="2" width="24.140625" style="1" bestFit="1" customWidth="1"/>
    <col min="3" max="3" width="10.140625" style="1" bestFit="1" customWidth="1"/>
    <col min="4" max="6" width="9.140625" style="1"/>
    <col min="7" max="7" width="10.140625" style="1" bestFit="1" customWidth="1"/>
    <col min="8" max="10" width="9.140625" style="1"/>
    <col min="11" max="11" width="10.140625" style="1" bestFit="1" customWidth="1"/>
    <col min="12" max="13" width="9.140625" style="1"/>
    <col min="14" max="15" width="10.140625" style="1" bestFit="1" customWidth="1"/>
    <col min="16" max="16" width="9.140625" style="1"/>
    <col min="17" max="17" width="10.140625" style="1" bestFit="1" customWidth="1"/>
    <col min="18" max="41" width="9.140625" style="1"/>
    <col min="42" max="42" width="12.7109375" style="1" bestFit="1" customWidth="1"/>
    <col min="43" max="16384" width="9.140625" style="1"/>
  </cols>
  <sheetData>
    <row r="1" spans="1:40" customFormat="1" x14ac:dyDescent="0.2">
      <c r="A1" s="8" t="s">
        <v>6</v>
      </c>
      <c r="C1" s="6">
        <v>44135</v>
      </c>
      <c r="D1" s="6">
        <v>44227</v>
      </c>
      <c r="E1" s="6">
        <v>44316</v>
      </c>
      <c r="F1" s="6">
        <v>44408</v>
      </c>
      <c r="G1" s="6">
        <v>44500</v>
      </c>
      <c r="H1" s="6">
        <v>44592</v>
      </c>
      <c r="I1" s="6">
        <v>44681</v>
      </c>
      <c r="J1" s="6">
        <v>44773</v>
      </c>
      <c r="K1" s="6">
        <v>44865</v>
      </c>
      <c r="L1" s="6">
        <v>44957</v>
      </c>
      <c r="M1" s="6">
        <v>45046</v>
      </c>
      <c r="N1" s="11">
        <v>45138</v>
      </c>
      <c r="O1" s="6">
        <v>45230</v>
      </c>
      <c r="P1" s="6">
        <v>45322</v>
      </c>
      <c r="Q1" s="6">
        <v>45412</v>
      </c>
    </row>
    <row r="2" spans="1:40" s="4" customFormat="1" x14ac:dyDescent="0.2">
      <c r="C2" s="4" t="s">
        <v>25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4" t="s">
        <v>38</v>
      </c>
      <c r="Q2" s="4" t="s">
        <v>39</v>
      </c>
      <c r="R2" s="4" t="s">
        <v>40</v>
      </c>
      <c r="T2" s="5">
        <v>2014</v>
      </c>
      <c r="U2" s="5">
        <f>+T2+1</f>
        <v>2015</v>
      </c>
      <c r="V2" s="5">
        <f t="shared" ref="V2:AN2" si="0">+U2+1</f>
        <v>2016</v>
      </c>
      <c r="W2" s="5">
        <f t="shared" si="0"/>
        <v>2017</v>
      </c>
      <c r="X2" s="5">
        <f t="shared" si="0"/>
        <v>2018</v>
      </c>
      <c r="Y2" s="5">
        <f t="shared" si="0"/>
        <v>2019</v>
      </c>
      <c r="Z2" s="5">
        <f t="shared" si="0"/>
        <v>2020</v>
      </c>
      <c r="AA2" s="5">
        <f t="shared" si="0"/>
        <v>2021</v>
      </c>
      <c r="AB2" s="5">
        <f t="shared" si="0"/>
        <v>2022</v>
      </c>
      <c r="AC2" s="5">
        <f t="shared" si="0"/>
        <v>2023</v>
      </c>
      <c r="AD2" s="5">
        <f t="shared" si="0"/>
        <v>2024</v>
      </c>
      <c r="AE2" s="5">
        <f t="shared" si="0"/>
        <v>2025</v>
      </c>
      <c r="AF2" s="5">
        <f t="shared" si="0"/>
        <v>2026</v>
      </c>
      <c r="AG2" s="5">
        <f t="shared" si="0"/>
        <v>2027</v>
      </c>
      <c r="AH2" s="5">
        <f t="shared" si="0"/>
        <v>2028</v>
      </c>
      <c r="AI2" s="5">
        <f t="shared" si="0"/>
        <v>2029</v>
      </c>
      <c r="AJ2" s="5">
        <f t="shared" si="0"/>
        <v>2030</v>
      </c>
      <c r="AK2" s="5">
        <f t="shared" si="0"/>
        <v>2031</v>
      </c>
      <c r="AL2" s="5">
        <f t="shared" si="0"/>
        <v>2032</v>
      </c>
      <c r="AM2" s="5">
        <f t="shared" si="0"/>
        <v>2033</v>
      </c>
      <c r="AN2" s="5">
        <f t="shared" si="0"/>
        <v>2034</v>
      </c>
    </row>
    <row r="3" spans="1:40" s="4" customFormat="1" x14ac:dyDescent="0.2">
      <c r="B3" s="12" t="s">
        <v>89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s="4" customFormat="1" x14ac:dyDescent="0.2">
      <c r="B4" s="12" t="s">
        <v>90</v>
      </c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s="4" customFormat="1" x14ac:dyDescent="0.2"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s="9" customFormat="1" x14ac:dyDescent="0.2">
      <c r="B6" s="9" t="s">
        <v>7</v>
      </c>
      <c r="C6" s="9">
        <v>142.578</v>
      </c>
      <c r="D6" s="9">
        <v>157.04400000000001</v>
      </c>
      <c r="E6" s="9">
        <v>176.404</v>
      </c>
      <c r="F6" s="9">
        <f>+AA6-SUM(C6:E6)</f>
        <v>197.07400000000001</v>
      </c>
      <c r="G6" s="9">
        <v>230.517</v>
      </c>
      <c r="H6" s="9">
        <v>255.56299999999999</v>
      </c>
      <c r="I6" s="9">
        <v>286.80700000000002</v>
      </c>
      <c r="J6" s="9">
        <f>+AB6-SUM(G6:I6)</f>
        <v>318.05899999999997</v>
      </c>
      <c r="K6" s="9">
        <v>355.548</v>
      </c>
      <c r="L6" s="9">
        <v>387.59800000000001</v>
      </c>
      <c r="M6" s="9">
        <v>418.8</v>
      </c>
      <c r="N6" s="9">
        <f>+AC6-SUM(K6:M6)</f>
        <v>455.00600000000009</v>
      </c>
      <c r="O6" s="9">
        <v>496.70299999999997</v>
      </c>
      <c r="P6" s="9">
        <v>524.99900000000002</v>
      </c>
      <c r="Q6" s="9">
        <v>553.20100000000002</v>
      </c>
      <c r="R6" s="9">
        <v>567</v>
      </c>
      <c r="AA6" s="9">
        <v>673.1</v>
      </c>
      <c r="AB6" s="9">
        <v>1090.9459999999999</v>
      </c>
      <c r="AC6" s="9">
        <v>1616.952</v>
      </c>
      <c r="AD6" s="9">
        <f>+SUM(O6:R6)</f>
        <v>2141.9030000000002</v>
      </c>
      <c r="AE6" s="9">
        <f>+AD6*1.25</f>
        <v>2677.3787500000003</v>
      </c>
      <c r="AF6" s="9">
        <f t="shared" ref="AF6:AL6" si="1">+AE6*1.25</f>
        <v>3346.7234375000003</v>
      </c>
      <c r="AG6" s="9">
        <f t="shared" si="1"/>
        <v>4183.404296875</v>
      </c>
      <c r="AH6" s="9">
        <f t="shared" si="1"/>
        <v>5229.25537109375</v>
      </c>
      <c r="AI6" s="9">
        <f t="shared" si="1"/>
        <v>6536.5692138671875</v>
      </c>
      <c r="AJ6" s="9">
        <f t="shared" si="1"/>
        <v>8170.7115173339844</v>
      </c>
      <c r="AK6" s="9">
        <f t="shared" si="1"/>
        <v>10213.38939666748</v>
      </c>
      <c r="AL6" s="9">
        <f t="shared" si="1"/>
        <v>12766.736745834351</v>
      </c>
      <c r="AM6" s="9">
        <f>+AL6*1.25</f>
        <v>15958.420932292938</v>
      </c>
      <c r="AN6" s="9">
        <f>+AM6*1.25</f>
        <v>19948.026165366173</v>
      </c>
    </row>
    <row r="7" spans="1:40" x14ac:dyDescent="0.2">
      <c r="B7" s="1" t="s">
        <v>8</v>
      </c>
      <c r="C7" s="1">
        <v>31.727</v>
      </c>
      <c r="D7" s="1">
        <v>34.134999999999998</v>
      </c>
      <c r="E7" s="1">
        <v>38.976999999999997</v>
      </c>
      <c r="F7" s="1">
        <f>+AA7-SUM(C7:E7)</f>
        <v>45.478000000000009</v>
      </c>
      <c r="G7" s="1">
        <v>52.168999999999997</v>
      </c>
      <c r="H7" s="1">
        <v>57.783000000000001</v>
      </c>
      <c r="I7" s="1">
        <v>64.022000000000006</v>
      </c>
      <c r="J7" s="1">
        <f>+AB7-SUM(G7:I7)</f>
        <v>68.308000000000021</v>
      </c>
      <c r="K7" s="1">
        <v>76.697000000000003</v>
      </c>
      <c r="L7" s="1">
        <v>87.603999999999999</v>
      </c>
      <c r="M7" s="1">
        <v>95.849000000000004</v>
      </c>
      <c r="N7" s="1">
        <f>+AC7-SUM(K7:M7)</f>
        <v>102.68200000000002</v>
      </c>
      <c r="O7" s="1">
        <v>111.39400000000001</v>
      </c>
      <c r="P7" s="1">
        <v>117.199</v>
      </c>
      <c r="Q7" s="1">
        <v>118.331</v>
      </c>
      <c r="AA7" s="1">
        <v>150.31700000000001</v>
      </c>
      <c r="AB7" s="1">
        <v>242.28200000000001</v>
      </c>
      <c r="AC7" s="1">
        <v>362.83199999999999</v>
      </c>
      <c r="AD7" s="1">
        <f>+AD6*0.2</f>
        <v>428.38060000000007</v>
      </c>
      <c r="AE7" s="1">
        <f t="shared" ref="AE7:AN7" si="2">+AE6*0.2</f>
        <v>535.47575000000006</v>
      </c>
      <c r="AF7" s="1">
        <f t="shared" si="2"/>
        <v>669.34468750000008</v>
      </c>
      <c r="AG7" s="1">
        <f t="shared" si="2"/>
        <v>836.68085937500007</v>
      </c>
      <c r="AH7" s="1">
        <f t="shared" si="2"/>
        <v>1045.85107421875</v>
      </c>
      <c r="AI7" s="1">
        <f t="shared" si="2"/>
        <v>1307.3138427734375</v>
      </c>
      <c r="AJ7" s="1">
        <f t="shared" si="2"/>
        <v>1634.1423034667969</v>
      </c>
      <c r="AK7" s="1">
        <f t="shared" si="2"/>
        <v>2042.6778793334961</v>
      </c>
      <c r="AL7" s="1">
        <f t="shared" si="2"/>
        <v>2553.3473491668701</v>
      </c>
      <c r="AM7" s="1">
        <f t="shared" si="2"/>
        <v>3191.6841864585876</v>
      </c>
      <c r="AN7" s="1">
        <f t="shared" si="2"/>
        <v>3989.6052330732346</v>
      </c>
    </row>
    <row r="8" spans="1:40" x14ac:dyDescent="0.2">
      <c r="B8" s="1" t="s">
        <v>9</v>
      </c>
      <c r="C8" s="1">
        <f t="shared" ref="C8:Q8" si="3">+C6-C7</f>
        <v>110.851</v>
      </c>
      <c r="D8" s="1">
        <f t="shared" si="3"/>
        <v>122.90900000000002</v>
      </c>
      <c r="E8" s="1">
        <f t="shared" si="3"/>
        <v>137.42699999999999</v>
      </c>
      <c r="F8" s="1">
        <f t="shared" si="3"/>
        <v>151.596</v>
      </c>
      <c r="G8" s="1">
        <f t="shared" si="3"/>
        <v>178.34800000000001</v>
      </c>
      <c r="H8" s="1">
        <f t="shared" si="3"/>
        <v>197.77999999999997</v>
      </c>
      <c r="I8" s="1">
        <f t="shared" si="3"/>
        <v>222.78500000000003</v>
      </c>
      <c r="J8" s="1">
        <f t="shared" si="3"/>
        <v>249.75099999999995</v>
      </c>
      <c r="K8" s="1">
        <f t="shared" si="3"/>
        <v>278.851</v>
      </c>
      <c r="L8" s="1">
        <f t="shared" si="3"/>
        <v>299.99400000000003</v>
      </c>
      <c r="M8" s="1">
        <f t="shared" si="3"/>
        <v>322.95100000000002</v>
      </c>
      <c r="N8" s="1">
        <f t="shared" si="3"/>
        <v>352.32400000000007</v>
      </c>
      <c r="O8" s="1">
        <f t="shared" si="3"/>
        <v>385.30899999999997</v>
      </c>
      <c r="P8" s="1">
        <f t="shared" si="3"/>
        <v>407.8</v>
      </c>
      <c r="Q8" s="1">
        <f t="shared" si="3"/>
        <v>434.87</v>
      </c>
      <c r="AA8" s="1">
        <f>+AA6-AA7</f>
        <v>522.78300000000002</v>
      </c>
      <c r="AB8" s="1">
        <f>+AB6-AB7</f>
        <v>848.66399999999987</v>
      </c>
      <c r="AC8" s="1">
        <f>+AC6-AC7</f>
        <v>1254.1199999999999</v>
      </c>
      <c r="AD8" s="1">
        <f t="shared" ref="AD8:AN8" si="4">+AD6-AD7</f>
        <v>1713.5224000000003</v>
      </c>
      <c r="AE8" s="1">
        <f t="shared" si="4"/>
        <v>2141.9030000000002</v>
      </c>
      <c r="AF8" s="1">
        <f t="shared" si="4"/>
        <v>2677.3787500000003</v>
      </c>
      <c r="AG8" s="1">
        <f t="shared" si="4"/>
        <v>3346.7234374999998</v>
      </c>
      <c r="AH8" s="1">
        <f t="shared" si="4"/>
        <v>4183.404296875</v>
      </c>
      <c r="AI8" s="1">
        <f t="shared" si="4"/>
        <v>5229.25537109375</v>
      </c>
      <c r="AJ8" s="1">
        <f t="shared" si="4"/>
        <v>6536.5692138671875</v>
      </c>
      <c r="AK8" s="1">
        <f t="shared" si="4"/>
        <v>8170.7115173339844</v>
      </c>
      <c r="AL8" s="1">
        <f t="shared" si="4"/>
        <v>10213.38939666748</v>
      </c>
      <c r="AM8" s="1">
        <f t="shared" si="4"/>
        <v>12766.736745834351</v>
      </c>
      <c r="AN8" s="1">
        <f t="shared" si="4"/>
        <v>15958.420932292938</v>
      </c>
    </row>
    <row r="9" spans="1:40" x14ac:dyDescent="0.2">
      <c r="B9" s="1" t="s">
        <v>10</v>
      </c>
      <c r="C9" s="1">
        <v>96.888999999999996</v>
      </c>
      <c r="D9" s="1">
        <v>110.40300000000001</v>
      </c>
      <c r="E9" s="1">
        <v>115.73</v>
      </c>
      <c r="F9" s="1">
        <f>+AA9-SUM(C9:E9)</f>
        <v>136.38499999999999</v>
      </c>
      <c r="G9" s="1">
        <v>153.786</v>
      </c>
      <c r="H9" s="1">
        <v>175.07300000000001</v>
      </c>
      <c r="I9" s="1">
        <v>192.13200000000001</v>
      </c>
      <c r="J9" s="1">
        <f>+AB9-SUM(G9:I9)</f>
        <v>214.22800000000007</v>
      </c>
      <c r="K9" s="1">
        <v>228.83600000000001</v>
      </c>
      <c r="L9" s="1">
        <v>235.94499999999999</v>
      </c>
      <c r="M9" s="1">
        <v>236.273</v>
      </c>
      <c r="N9" s="1">
        <f>+AC9-SUM(K9:M9)</f>
        <v>252.81000000000006</v>
      </c>
      <c r="O9" s="1">
        <v>267.11099999999999</v>
      </c>
      <c r="P9" s="1">
        <v>276.48099999999999</v>
      </c>
      <c r="Q9" s="1">
        <v>262.447</v>
      </c>
      <c r="AA9" s="1">
        <v>459.40699999999998</v>
      </c>
      <c r="AB9" s="1">
        <v>735.21900000000005</v>
      </c>
      <c r="AC9" s="1">
        <v>953.86400000000003</v>
      </c>
      <c r="AD9" s="1">
        <f>+AC9*1.3</f>
        <v>1240.0232000000001</v>
      </c>
      <c r="AE9" s="1">
        <f>+AD9*1.2</f>
        <v>1488.02784</v>
      </c>
      <c r="AF9" s="1">
        <f t="shared" ref="AF9:AJ9" si="5">+AE9*1.2</f>
        <v>1785.6334079999999</v>
      </c>
      <c r="AG9" s="1">
        <f t="shared" si="5"/>
        <v>2142.7600895999999</v>
      </c>
      <c r="AH9" s="1">
        <f t="shared" si="5"/>
        <v>2571.3121075199997</v>
      </c>
      <c r="AI9" s="1">
        <f t="shared" si="5"/>
        <v>3085.5745290239997</v>
      </c>
      <c r="AJ9" s="1">
        <f t="shared" si="5"/>
        <v>3702.6894348287997</v>
      </c>
      <c r="AK9" s="1">
        <f>+AJ9*1.15</f>
        <v>4258.092850053119</v>
      </c>
      <c r="AL9" s="1">
        <f t="shared" ref="AL9:AN9" si="6">+AK9*1.15</f>
        <v>4896.8067775610862</v>
      </c>
      <c r="AM9" s="1">
        <f t="shared" si="6"/>
        <v>5631.3277941952483</v>
      </c>
      <c r="AN9" s="1">
        <f t="shared" si="6"/>
        <v>6476.0269633245352</v>
      </c>
    </row>
    <row r="10" spans="1:40" x14ac:dyDescent="0.2">
      <c r="B10" s="1" t="s">
        <v>11</v>
      </c>
      <c r="C10" s="1">
        <v>35.770000000000003</v>
      </c>
      <c r="D10" s="1">
        <v>41.750999999999998</v>
      </c>
      <c r="E10" s="1">
        <v>40.951999999999998</v>
      </c>
      <c r="F10" s="1">
        <f>+AA10-SUM(C10:E10)</f>
        <v>56.179999999999993</v>
      </c>
      <c r="G10" s="1">
        <v>65.215999999999994</v>
      </c>
      <c r="H10" s="1">
        <v>69.194999999999993</v>
      </c>
      <c r="I10" s="1">
        <v>76.578000000000003</v>
      </c>
      <c r="J10" s="1">
        <f>+AB10-SUM(G10:I10)</f>
        <v>78.150000000000006</v>
      </c>
      <c r="K10" s="1">
        <v>74.945999999999998</v>
      </c>
      <c r="L10" s="1">
        <v>85.765000000000001</v>
      </c>
      <c r="M10" s="1">
        <v>92.637</v>
      </c>
      <c r="N10" s="1">
        <f>+AC10-SUM(K10:M10)</f>
        <v>96.387</v>
      </c>
      <c r="O10" s="1">
        <v>113.539</v>
      </c>
      <c r="P10" s="1">
        <v>122.181</v>
      </c>
      <c r="Q10" s="1">
        <v>124.958</v>
      </c>
      <c r="AA10" s="1">
        <v>174.65299999999999</v>
      </c>
      <c r="AB10" s="1">
        <v>289.13900000000001</v>
      </c>
      <c r="AC10" s="1">
        <v>349.73500000000001</v>
      </c>
      <c r="AD10" s="1">
        <f>+AD6*0.2</f>
        <v>428.38060000000007</v>
      </c>
      <c r="AE10" s="1">
        <f t="shared" ref="AE10:AN10" si="7">+AE6*0.2</f>
        <v>535.47575000000006</v>
      </c>
      <c r="AF10" s="1">
        <f t="shared" si="7"/>
        <v>669.34468750000008</v>
      </c>
      <c r="AG10" s="1">
        <f t="shared" si="7"/>
        <v>836.68085937500007</v>
      </c>
      <c r="AH10" s="1">
        <f t="shared" si="7"/>
        <v>1045.85107421875</v>
      </c>
      <c r="AI10" s="1">
        <f t="shared" si="7"/>
        <v>1307.3138427734375</v>
      </c>
      <c r="AJ10" s="1">
        <f t="shared" si="7"/>
        <v>1634.1423034667969</v>
      </c>
      <c r="AK10" s="1">
        <f t="shared" si="7"/>
        <v>2042.6778793334961</v>
      </c>
      <c r="AL10" s="1">
        <f t="shared" si="7"/>
        <v>2553.3473491668701</v>
      </c>
      <c r="AM10" s="1">
        <f t="shared" si="7"/>
        <v>3191.6841864585876</v>
      </c>
      <c r="AN10" s="1">
        <f t="shared" si="7"/>
        <v>3989.6052330732346</v>
      </c>
    </row>
    <row r="11" spans="1:40" x14ac:dyDescent="0.2">
      <c r="B11" s="1" t="s">
        <v>12</v>
      </c>
      <c r="C11" s="1">
        <v>20.859000000000002</v>
      </c>
      <c r="D11" s="1">
        <v>24.652999999999999</v>
      </c>
      <c r="E11" s="1">
        <v>24.594999999999999</v>
      </c>
      <c r="F11" s="1">
        <f>+AA11-SUM(C11:E11)</f>
        <v>26.427999999999997</v>
      </c>
      <c r="G11" s="1">
        <v>33.716999999999999</v>
      </c>
      <c r="H11" s="1">
        <v>37.444000000000003</v>
      </c>
      <c r="I11" s="1">
        <v>40.671999999999997</v>
      </c>
      <c r="J11" s="1">
        <f>+AB11-SUM(G11:I11)</f>
        <v>39.902000000000015</v>
      </c>
      <c r="K11" s="1">
        <v>44.155999999999999</v>
      </c>
      <c r="L11" s="1">
        <v>43.521999999999998</v>
      </c>
      <c r="M11" s="1">
        <v>43.485999999999997</v>
      </c>
      <c r="N11" s="1">
        <f>+AC11-SUM(K11:M11)</f>
        <v>46.380000000000024</v>
      </c>
      <c r="O11" s="1">
        <v>50.716000000000001</v>
      </c>
      <c r="P11" s="1">
        <v>54.594999999999999</v>
      </c>
      <c r="Q11" s="1">
        <v>50.478000000000002</v>
      </c>
      <c r="AA11" s="1">
        <v>96.534999999999997</v>
      </c>
      <c r="AB11" s="1">
        <v>151.73500000000001</v>
      </c>
      <c r="AC11" s="1">
        <v>177.54400000000001</v>
      </c>
      <c r="AD11" s="1">
        <f>+AC11*1.2</f>
        <v>213.05280000000002</v>
      </c>
      <c r="AE11" s="1">
        <f t="shared" ref="AE11:AN11" si="8">+AD11*1.2</f>
        <v>255.66336000000001</v>
      </c>
      <c r="AF11" s="1">
        <f t="shared" si="8"/>
        <v>306.79603200000003</v>
      </c>
      <c r="AG11" s="1">
        <f t="shared" si="8"/>
        <v>368.15523840000003</v>
      </c>
      <c r="AH11" s="1">
        <f t="shared" si="8"/>
        <v>441.78628608000002</v>
      </c>
      <c r="AI11" s="1">
        <f t="shared" si="8"/>
        <v>530.14354329599996</v>
      </c>
      <c r="AJ11" s="1">
        <f t="shared" si="8"/>
        <v>636.17225195519995</v>
      </c>
      <c r="AK11" s="1">
        <f t="shared" si="8"/>
        <v>763.40670234623997</v>
      </c>
      <c r="AL11" s="1">
        <f t="shared" si="8"/>
        <v>916.08804281548794</v>
      </c>
      <c r="AM11" s="1">
        <f t="shared" si="8"/>
        <v>1099.3056513785855</v>
      </c>
      <c r="AN11" s="1">
        <f t="shared" si="8"/>
        <v>1319.1667816543024</v>
      </c>
    </row>
    <row r="12" spans="1:40" x14ac:dyDescent="0.2">
      <c r="B12" s="1" t="s">
        <v>13</v>
      </c>
      <c r="C12" s="1">
        <f t="shared" ref="C12:Q12" si="9">+SUM(C9:C11)</f>
        <v>153.518</v>
      </c>
      <c r="D12" s="1">
        <f t="shared" si="9"/>
        <v>176.80699999999999</v>
      </c>
      <c r="E12" s="1">
        <f t="shared" si="9"/>
        <v>181.27700000000002</v>
      </c>
      <c r="F12" s="1">
        <f t="shared" si="9"/>
        <v>218.99299999999999</v>
      </c>
      <c r="G12" s="1">
        <f t="shared" si="9"/>
        <v>252.71899999999999</v>
      </c>
      <c r="H12" s="1">
        <f t="shared" si="9"/>
        <v>281.71199999999999</v>
      </c>
      <c r="I12" s="1">
        <f t="shared" si="9"/>
        <v>309.38200000000006</v>
      </c>
      <c r="J12" s="1">
        <f t="shared" si="9"/>
        <v>332.28000000000009</v>
      </c>
      <c r="K12" s="1">
        <f t="shared" si="9"/>
        <v>347.93800000000005</v>
      </c>
      <c r="L12" s="1">
        <f t="shared" si="9"/>
        <v>365.23199999999997</v>
      </c>
      <c r="M12" s="1">
        <f t="shared" si="9"/>
        <v>372.39599999999996</v>
      </c>
      <c r="N12" s="1">
        <f t="shared" si="9"/>
        <v>395.57700000000011</v>
      </c>
      <c r="O12" s="1">
        <f t="shared" si="9"/>
        <v>431.36599999999999</v>
      </c>
      <c r="P12" s="1">
        <f t="shared" si="9"/>
        <v>453.25699999999995</v>
      </c>
      <c r="Q12" s="1">
        <f t="shared" si="9"/>
        <v>437.88299999999998</v>
      </c>
      <c r="AA12" s="1">
        <f>+SUM(AA9:AA11)</f>
        <v>730.59499999999991</v>
      </c>
      <c r="AB12" s="1">
        <f>+SUM(AB9:AB11)</f>
        <v>1176.0930000000003</v>
      </c>
      <c r="AC12" s="1">
        <f>+SUM(AC9:AC11)</f>
        <v>1481.1430000000003</v>
      </c>
      <c r="AD12" s="1">
        <f>+SUM(AD9:AD11)</f>
        <v>1881.4566</v>
      </c>
      <c r="AE12" s="1">
        <f t="shared" ref="AE12:AN12" si="10">+SUM(AE9:AE11)</f>
        <v>2279.1669499999998</v>
      </c>
      <c r="AF12" s="1">
        <f t="shared" si="10"/>
        <v>2761.7741275000003</v>
      </c>
      <c r="AG12" s="1">
        <f t="shared" si="10"/>
        <v>3347.5961873750002</v>
      </c>
      <c r="AH12" s="1">
        <f t="shared" si="10"/>
        <v>4058.9494678187498</v>
      </c>
      <c r="AI12" s="1">
        <f t="shared" si="10"/>
        <v>4923.0319150934365</v>
      </c>
      <c r="AJ12" s="1">
        <f t="shared" si="10"/>
        <v>5973.0039902507961</v>
      </c>
      <c r="AK12" s="1">
        <f t="shared" si="10"/>
        <v>7064.1774317328554</v>
      </c>
      <c r="AL12" s="1">
        <f t="shared" si="10"/>
        <v>8366.2421695434441</v>
      </c>
      <c r="AM12" s="1">
        <f t="shared" si="10"/>
        <v>9922.3176320324201</v>
      </c>
      <c r="AN12" s="1">
        <f t="shared" si="10"/>
        <v>11784.798978052073</v>
      </c>
    </row>
    <row r="13" spans="1:40" x14ac:dyDescent="0.2">
      <c r="B13" s="1" t="s">
        <v>14</v>
      </c>
      <c r="C13" s="1">
        <f t="shared" ref="C13:Q13" si="11">+C8-C12</f>
        <v>-42.667000000000002</v>
      </c>
      <c r="D13" s="1">
        <f t="shared" si="11"/>
        <v>-53.897999999999968</v>
      </c>
      <c r="E13" s="1">
        <f t="shared" si="11"/>
        <v>-43.850000000000023</v>
      </c>
      <c r="F13" s="1">
        <f t="shared" si="11"/>
        <v>-67.396999999999991</v>
      </c>
      <c r="G13" s="1">
        <f t="shared" si="11"/>
        <v>-74.370999999999981</v>
      </c>
      <c r="H13" s="1">
        <f t="shared" si="11"/>
        <v>-83.932000000000016</v>
      </c>
      <c r="I13" s="1">
        <f t="shared" si="11"/>
        <v>-86.597000000000037</v>
      </c>
      <c r="J13" s="1">
        <f t="shared" si="11"/>
        <v>-82.529000000000138</v>
      </c>
      <c r="K13" s="1">
        <f t="shared" si="11"/>
        <v>-69.087000000000046</v>
      </c>
      <c r="L13" s="1">
        <f t="shared" si="11"/>
        <v>-65.237999999999943</v>
      </c>
      <c r="M13" s="1">
        <f t="shared" si="11"/>
        <v>-49.444999999999936</v>
      </c>
      <c r="N13" s="1">
        <f t="shared" si="11"/>
        <v>-43.253000000000043</v>
      </c>
      <c r="O13" s="1">
        <f t="shared" si="11"/>
        <v>-46.057000000000016</v>
      </c>
      <c r="P13" s="1">
        <f t="shared" si="11"/>
        <v>-45.456999999999937</v>
      </c>
      <c r="Q13" s="1">
        <f t="shared" si="11"/>
        <v>-3.0129999999999768</v>
      </c>
      <c r="AA13" s="1">
        <f>+AA8-AA12</f>
        <v>-207.8119999999999</v>
      </c>
      <c r="AB13" s="1">
        <f>+AB8-AB12</f>
        <v>-327.42900000000043</v>
      </c>
      <c r="AC13" s="1">
        <f>+AC8-AC12</f>
        <v>-227.02300000000037</v>
      </c>
      <c r="AD13" s="1">
        <v>-229</v>
      </c>
      <c r="AE13" s="1">
        <f>+AE8-AE12</f>
        <v>-137.26394999999957</v>
      </c>
      <c r="AF13" s="1">
        <f t="shared" ref="AF13:AN13" si="12">+AF8-AF12</f>
        <v>-84.395377499999995</v>
      </c>
      <c r="AG13" s="1">
        <f t="shared" si="12"/>
        <v>-0.87274987500040879</v>
      </c>
      <c r="AH13" s="1">
        <f t="shared" si="12"/>
        <v>124.45482905625022</v>
      </c>
      <c r="AI13" s="1">
        <f t="shared" si="12"/>
        <v>306.22345600031349</v>
      </c>
      <c r="AJ13" s="1">
        <f t="shared" si="12"/>
        <v>563.56522361639145</v>
      </c>
      <c r="AK13" s="1">
        <f t="shared" si="12"/>
        <v>1106.5340856011289</v>
      </c>
      <c r="AL13" s="1">
        <f t="shared" si="12"/>
        <v>1847.1472271240364</v>
      </c>
      <c r="AM13" s="1">
        <f t="shared" si="12"/>
        <v>2844.4191138019305</v>
      </c>
      <c r="AN13" s="1">
        <f t="shared" si="12"/>
        <v>4173.6219542408653</v>
      </c>
    </row>
    <row r="14" spans="1:40" x14ac:dyDescent="0.2">
      <c r="B14" s="1" t="s">
        <v>15</v>
      </c>
      <c r="C14" s="1">
        <v>0.94</v>
      </c>
      <c r="D14" s="1">
        <v>0.755</v>
      </c>
      <c r="E14" s="1">
        <v>0.59299999999999997</v>
      </c>
      <c r="F14" s="1">
        <f>+AA14-SUM(C14:E14)</f>
        <v>0.52400000000000002</v>
      </c>
      <c r="G14" s="1">
        <v>0.47299999999999998</v>
      </c>
      <c r="H14" s="1">
        <v>0.55700000000000005</v>
      </c>
      <c r="I14" s="1">
        <v>0.94899999999999995</v>
      </c>
      <c r="J14" s="1">
        <f>+AB14-SUM(G14:I14)</f>
        <v>2.6070000000000002</v>
      </c>
      <c r="K14" s="1">
        <v>7.8650000000000002</v>
      </c>
      <c r="L14" s="1">
        <v>12.669</v>
      </c>
      <c r="M14" s="1">
        <v>18.577000000000002</v>
      </c>
      <c r="N14" s="1">
        <f>+AC14-SUM(K14:M14)</f>
        <v>21.350999999999999</v>
      </c>
      <c r="O14" s="1">
        <v>25.942</v>
      </c>
      <c r="P14" s="1">
        <v>28.385000000000002</v>
      </c>
      <c r="Q14" s="1">
        <v>27.57</v>
      </c>
      <c r="AA14" s="1">
        <v>2.8119999999999998</v>
      </c>
      <c r="AB14" s="1">
        <v>4.5860000000000003</v>
      </c>
      <c r="AC14" s="1">
        <v>60.462000000000003</v>
      </c>
      <c r="AD14" s="1">
        <f>+AC35*0.01+AC14</f>
        <v>71.485119999999995</v>
      </c>
      <c r="AE14" s="1">
        <f t="shared" ref="AE14:AN14" si="13">+AD35*0.01+AD14</f>
        <v>81.248120959999994</v>
      </c>
      <c r="AF14" s="1">
        <f t="shared" si="13"/>
        <v>90.562995287679996</v>
      </c>
      <c r="AG14" s="1">
        <f t="shared" si="13"/>
        <v>99.927210557661439</v>
      </c>
      <c r="AH14" s="1">
        <f t="shared" si="13"/>
        <v>110.08386151310417</v>
      </c>
      <c r="AI14" s="1">
        <f t="shared" si="13"/>
        <v>122.11682199310174</v>
      </c>
      <c r="AJ14" s="1">
        <f t="shared" si="13"/>
        <v>137.57650469704663</v>
      </c>
      <c r="AK14" s="1">
        <f t="shared" si="13"/>
        <v>158.64532122749904</v>
      </c>
      <c r="AL14" s="1">
        <f t="shared" si="13"/>
        <v>189.83557301258045</v>
      </c>
      <c r="AM14" s="1">
        <f>+AL35*0.01+AL14</f>
        <v>237.3216871987548</v>
      </c>
      <c r="AN14" s="1">
        <f t="shared" si="13"/>
        <v>309.46172779293465</v>
      </c>
    </row>
    <row r="15" spans="1:40" x14ac:dyDescent="0.2">
      <c r="B15" s="1" t="s">
        <v>16</v>
      </c>
      <c r="C15" s="1">
        <v>-13.048999999999999</v>
      </c>
      <c r="D15" s="1">
        <v>-13.244999999999999</v>
      </c>
      <c r="E15" s="1">
        <v>-13.436</v>
      </c>
      <c r="F15" s="1">
        <f>+AA15-SUM(C15:E15)</f>
        <v>-13.634</v>
      </c>
      <c r="G15" s="1">
        <v>-13.835000000000001</v>
      </c>
      <c r="H15" s="1">
        <v>-14.04</v>
      </c>
      <c r="I15" s="1">
        <v>-14.246</v>
      </c>
      <c r="J15" s="1">
        <f>+AB15-SUM(G15:I15)</f>
        <v>-14.457999999999998</v>
      </c>
      <c r="K15" s="1">
        <v>-1.331</v>
      </c>
      <c r="L15" s="1">
        <v>-1.333</v>
      </c>
      <c r="M15" s="1">
        <v>-1.383</v>
      </c>
      <c r="N15" s="1">
        <f>+AC15-SUM(K15:M15)</f>
        <v>-2.4940000000000007</v>
      </c>
      <c r="O15" s="1">
        <v>-3.1589999999999998</v>
      </c>
      <c r="P15" s="1">
        <v>-3.605</v>
      </c>
      <c r="Q15" s="1">
        <v>-2.7639999999999998</v>
      </c>
      <c r="AA15" s="1">
        <v>-53.363999999999997</v>
      </c>
      <c r="AB15" s="1">
        <v>-56.579000000000001</v>
      </c>
      <c r="AC15" s="1">
        <v>-6.5410000000000004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 x14ac:dyDescent="0.2">
      <c r="B16" s="1" t="s">
        <v>17</v>
      </c>
      <c r="C16" s="1">
        <v>0.26800000000000002</v>
      </c>
      <c r="D16" s="1">
        <v>0.51800000000000002</v>
      </c>
      <c r="E16" s="1">
        <v>7.0999999999999994E-2</v>
      </c>
      <c r="F16" s="1">
        <f>+AA16-SUM(C16:E16)</f>
        <v>0.32899999999999996</v>
      </c>
      <c r="G16" s="1">
        <v>-0.58899999999999997</v>
      </c>
      <c r="H16" s="1">
        <v>-0.84399999999999997</v>
      </c>
      <c r="I16" s="1">
        <v>-2.0009999999999999</v>
      </c>
      <c r="J16" s="1">
        <f>+AB16-SUM(G16:I16)</f>
        <v>-0.77400000000000047</v>
      </c>
      <c r="K16" s="1">
        <v>-0.86299999999999999</v>
      </c>
      <c r="L16" s="1">
        <v>0.14099999999999999</v>
      </c>
      <c r="M16" s="1">
        <v>-0.80900000000000005</v>
      </c>
      <c r="N16" s="1">
        <f>+AC16-SUM(K16:M16)</f>
        <v>-0.33099999999999996</v>
      </c>
      <c r="O16" s="1">
        <v>-1.212</v>
      </c>
      <c r="P16" s="1">
        <v>0.17199999999999999</v>
      </c>
      <c r="Q16" s="1">
        <v>-0.92700000000000005</v>
      </c>
      <c r="AA16" s="1">
        <v>1.1859999999999999</v>
      </c>
      <c r="AB16" s="1">
        <v>-4.2080000000000002</v>
      </c>
      <c r="AC16" s="1">
        <v>-1.8620000000000001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2:141" x14ac:dyDescent="0.2">
      <c r="B17" s="1" t="s">
        <v>18</v>
      </c>
      <c r="C17" s="1">
        <f t="shared" ref="C17:Q17" si="14">+C13+SUM(C14:C16)</f>
        <v>-54.508000000000003</v>
      </c>
      <c r="D17" s="1">
        <f t="shared" si="14"/>
        <v>-65.869999999999962</v>
      </c>
      <c r="E17" s="1">
        <f t="shared" si="14"/>
        <v>-56.622000000000021</v>
      </c>
      <c r="F17" s="1">
        <f t="shared" si="14"/>
        <v>-80.177999999999997</v>
      </c>
      <c r="G17" s="1">
        <f t="shared" si="14"/>
        <v>-88.321999999999974</v>
      </c>
      <c r="H17" s="1">
        <f t="shared" si="14"/>
        <v>-98.259000000000015</v>
      </c>
      <c r="I17" s="1">
        <f t="shared" si="14"/>
        <v>-101.89500000000004</v>
      </c>
      <c r="J17" s="1">
        <f t="shared" si="14"/>
        <v>-95.154000000000138</v>
      </c>
      <c r="K17" s="1">
        <f t="shared" si="14"/>
        <v>-63.416000000000047</v>
      </c>
      <c r="L17" s="1">
        <f t="shared" si="14"/>
        <v>-53.760999999999939</v>
      </c>
      <c r="M17" s="1">
        <f t="shared" si="14"/>
        <v>-33.059999999999931</v>
      </c>
      <c r="N17" s="1">
        <f t="shared" si="14"/>
        <v>-24.727000000000043</v>
      </c>
      <c r="O17" s="1">
        <f t="shared" si="14"/>
        <v>-24.486000000000015</v>
      </c>
      <c r="P17" s="1">
        <f t="shared" si="14"/>
        <v>-20.504999999999935</v>
      </c>
      <c r="Q17" s="1">
        <f t="shared" si="14"/>
        <v>20.866000000000025</v>
      </c>
      <c r="AA17" s="1">
        <f>+AA13+SUM(AA14:AA16)</f>
        <v>-257.17799999999988</v>
      </c>
      <c r="AB17" s="1">
        <f>+AB13+SUM(AB14:AB16)</f>
        <v>-383.63000000000045</v>
      </c>
      <c r="AC17" s="1">
        <f>+AC13+SUM(AC14:AC16)</f>
        <v>-174.96400000000037</v>
      </c>
      <c r="AD17" s="1">
        <f>+AD13+SUM(AD14:AD16)</f>
        <v>-157.51488000000001</v>
      </c>
      <c r="AE17" s="1">
        <f t="shared" ref="AE17:AN17" si="15">+AE13+SUM(AE14:AE16)</f>
        <v>-56.015829039999574</v>
      </c>
      <c r="AF17" s="1">
        <f t="shared" si="15"/>
        <v>6.1676177876800011</v>
      </c>
      <c r="AG17" s="1">
        <f t="shared" si="15"/>
        <v>99.054460682661031</v>
      </c>
      <c r="AH17" s="1">
        <f t="shared" si="15"/>
        <v>234.5386905693544</v>
      </c>
      <c r="AI17" s="1">
        <f t="shared" si="15"/>
        <v>428.34027799341521</v>
      </c>
      <c r="AJ17" s="1">
        <f t="shared" si="15"/>
        <v>701.14172831343808</v>
      </c>
      <c r="AK17" s="1">
        <f t="shared" si="15"/>
        <v>1265.1794068286281</v>
      </c>
      <c r="AL17" s="1">
        <f t="shared" si="15"/>
        <v>2036.9828001366168</v>
      </c>
      <c r="AM17" s="1">
        <f t="shared" si="15"/>
        <v>3081.7408010006852</v>
      </c>
      <c r="AN17" s="1">
        <f t="shared" si="15"/>
        <v>4483.0836820338</v>
      </c>
    </row>
    <row r="18" spans="2:141" x14ac:dyDescent="0.2">
      <c r="B18" s="1" t="s">
        <v>19</v>
      </c>
      <c r="C18" s="1">
        <v>0.498</v>
      </c>
      <c r="D18" s="1">
        <v>1.671</v>
      </c>
      <c r="E18" s="1">
        <v>1.837</v>
      </c>
      <c r="F18" s="1">
        <f>+AA18-SUM(C18:E18)</f>
        <v>0.84499999999999975</v>
      </c>
      <c r="G18" s="1">
        <v>2.4790000000000001</v>
      </c>
      <c r="H18" s="1">
        <v>2.161</v>
      </c>
      <c r="I18" s="1">
        <v>-0.49</v>
      </c>
      <c r="J18" s="1">
        <f>+AB18-SUM(G18:I18)</f>
        <v>2.4979999999999993</v>
      </c>
      <c r="K18" s="1">
        <v>4.7460000000000004</v>
      </c>
      <c r="L18" s="1">
        <v>3.6920000000000002</v>
      </c>
      <c r="M18" s="1">
        <v>6.6849999999999996</v>
      </c>
      <c r="N18" s="1">
        <f>+AC18-SUM(K18:M18)</f>
        <v>4.6479999999999997</v>
      </c>
      <c r="O18" s="1">
        <v>8.9969999999999999</v>
      </c>
      <c r="P18" s="1">
        <v>7.9640000000000004</v>
      </c>
      <c r="Q18" s="1">
        <v>1.742</v>
      </c>
      <c r="AA18" s="1">
        <v>4.851</v>
      </c>
      <c r="AB18" s="1">
        <v>6.6479999999999997</v>
      </c>
      <c r="AC18" s="1">
        <v>19.771000000000001</v>
      </c>
      <c r="AD18" s="1">
        <f>+AD17*0.2</f>
        <v>-31.502976000000004</v>
      </c>
      <c r="AE18" s="1">
        <f t="shared" ref="AE18:AN18" si="16">+AE17*0.2</f>
        <v>-11.203165807999916</v>
      </c>
      <c r="AF18" s="1">
        <f t="shared" si="16"/>
        <v>1.2335235575360004</v>
      </c>
      <c r="AG18" s="1">
        <f t="shared" si="16"/>
        <v>19.810892136532207</v>
      </c>
      <c r="AH18" s="1">
        <f t="shared" si="16"/>
        <v>46.907738113870884</v>
      </c>
      <c r="AI18" s="1">
        <f t="shared" si="16"/>
        <v>85.668055598683054</v>
      </c>
      <c r="AJ18" s="1">
        <f t="shared" si="16"/>
        <v>140.22834566268762</v>
      </c>
      <c r="AK18" s="1">
        <f t="shared" si="16"/>
        <v>253.03588136572563</v>
      </c>
      <c r="AL18" s="1">
        <f t="shared" si="16"/>
        <v>407.3965600273234</v>
      </c>
      <c r="AM18" s="1">
        <f t="shared" si="16"/>
        <v>616.34816020013704</v>
      </c>
      <c r="AN18" s="1">
        <f t="shared" si="16"/>
        <v>896.61673640676008</v>
      </c>
    </row>
    <row r="19" spans="2:141" x14ac:dyDescent="0.2">
      <c r="B19" s="1" t="s">
        <v>20</v>
      </c>
      <c r="C19" s="1">
        <f t="shared" ref="C19:Q19" si="17">+C17-C18</f>
        <v>-55.006</v>
      </c>
      <c r="D19" s="1">
        <f t="shared" si="17"/>
        <v>-67.540999999999968</v>
      </c>
      <c r="E19" s="1">
        <f t="shared" si="17"/>
        <v>-58.459000000000024</v>
      </c>
      <c r="F19" s="1">
        <f t="shared" si="17"/>
        <v>-81.022999999999996</v>
      </c>
      <c r="G19" s="1">
        <f t="shared" si="17"/>
        <v>-90.800999999999974</v>
      </c>
      <c r="H19" s="1">
        <f t="shared" si="17"/>
        <v>-100.42000000000002</v>
      </c>
      <c r="I19" s="1">
        <f t="shared" si="17"/>
        <v>-101.40500000000004</v>
      </c>
      <c r="J19" s="1">
        <f t="shared" si="17"/>
        <v>-97.652000000000143</v>
      </c>
      <c r="K19" s="1">
        <f t="shared" si="17"/>
        <v>-68.162000000000049</v>
      </c>
      <c r="L19" s="1">
        <f t="shared" si="17"/>
        <v>-57.452999999999939</v>
      </c>
      <c r="M19" s="1">
        <f t="shared" si="17"/>
        <v>-39.744999999999933</v>
      </c>
      <c r="N19" s="1">
        <f t="shared" si="17"/>
        <v>-29.375000000000043</v>
      </c>
      <c r="O19" s="1">
        <f t="shared" si="17"/>
        <v>-33.483000000000018</v>
      </c>
      <c r="P19" s="1">
        <f t="shared" si="17"/>
        <v>-28.468999999999937</v>
      </c>
      <c r="Q19" s="1">
        <f t="shared" si="17"/>
        <v>19.124000000000024</v>
      </c>
      <c r="AA19" s="1">
        <f>+AA17-AA18</f>
        <v>-262.02899999999988</v>
      </c>
      <c r="AB19" s="1">
        <f>+AB17-AB18</f>
        <v>-390.27800000000047</v>
      </c>
      <c r="AC19" s="1">
        <f>+AC17-AC18</f>
        <v>-194.73500000000035</v>
      </c>
      <c r="AD19" s="1">
        <f>+AD17-AD18</f>
        <v>-126.011904</v>
      </c>
      <c r="AE19" s="1">
        <f t="shared" ref="AE19:AN19" si="18">+AE17-AE18</f>
        <v>-44.812663231999657</v>
      </c>
      <c r="AF19" s="1">
        <f t="shared" si="18"/>
        <v>4.9340942301440007</v>
      </c>
      <c r="AG19" s="1">
        <f t="shared" si="18"/>
        <v>79.243568546128827</v>
      </c>
      <c r="AH19" s="1">
        <f t="shared" si="18"/>
        <v>187.63095245548351</v>
      </c>
      <c r="AI19" s="1">
        <f t="shared" si="18"/>
        <v>342.67222239473216</v>
      </c>
      <c r="AJ19" s="1">
        <f t="shared" si="18"/>
        <v>560.91338265075046</v>
      </c>
      <c r="AK19" s="1">
        <f t="shared" si="18"/>
        <v>1012.1435254629025</v>
      </c>
      <c r="AL19" s="1">
        <f t="shared" si="18"/>
        <v>1629.5862401092934</v>
      </c>
      <c r="AM19" s="1">
        <f t="shared" si="18"/>
        <v>2465.3926408005482</v>
      </c>
      <c r="AN19" s="1">
        <f t="shared" si="18"/>
        <v>3586.4669456270399</v>
      </c>
      <c r="AO19" s="1">
        <f>+AN19*(1+$AQ$26)</f>
        <v>3478.8729372582284</v>
      </c>
      <c r="AP19" s="1">
        <f t="shared" ref="AP19:DA19" si="19">+AO19*(1+$AQ$26)</f>
        <v>3374.5067491404816</v>
      </c>
      <c r="AQ19" s="1">
        <f t="shared" si="19"/>
        <v>3273.2715466662671</v>
      </c>
      <c r="AR19" s="1">
        <f t="shared" si="19"/>
        <v>3175.0734002662789</v>
      </c>
      <c r="AS19" s="1">
        <f t="shared" si="19"/>
        <v>3079.8211982582902</v>
      </c>
      <c r="AT19" s="1">
        <f t="shared" si="19"/>
        <v>2987.4265623105416</v>
      </c>
      <c r="AU19" s="1">
        <f t="shared" si="19"/>
        <v>2897.8037654412251</v>
      </c>
      <c r="AV19" s="1">
        <f t="shared" si="19"/>
        <v>2810.8696524779884</v>
      </c>
      <c r="AW19" s="1">
        <f t="shared" si="19"/>
        <v>2726.5435629036488</v>
      </c>
      <c r="AX19" s="1">
        <f t="shared" si="19"/>
        <v>2644.7472560165393</v>
      </c>
      <c r="AY19" s="1">
        <f t="shared" si="19"/>
        <v>2565.4048383360432</v>
      </c>
      <c r="AZ19" s="1">
        <f t="shared" si="19"/>
        <v>2488.4426931859621</v>
      </c>
      <c r="BA19" s="1">
        <f t="shared" si="19"/>
        <v>2413.7894123903829</v>
      </c>
      <c r="BB19" s="1">
        <f t="shared" si="19"/>
        <v>2341.3757300186712</v>
      </c>
      <c r="BC19" s="1">
        <f t="shared" si="19"/>
        <v>2271.1344581181111</v>
      </c>
      <c r="BD19" s="1">
        <f t="shared" si="19"/>
        <v>2203.0004243745675</v>
      </c>
      <c r="BE19" s="1">
        <f t="shared" si="19"/>
        <v>2136.9104116433305</v>
      </c>
      <c r="BF19" s="1">
        <f t="shared" si="19"/>
        <v>2072.8030992940303</v>
      </c>
      <c r="BG19" s="1">
        <f t="shared" si="19"/>
        <v>2010.6190063152094</v>
      </c>
      <c r="BH19" s="1">
        <f t="shared" si="19"/>
        <v>1950.3004361257531</v>
      </c>
      <c r="BI19" s="1">
        <f t="shared" si="19"/>
        <v>1891.7914230419804</v>
      </c>
      <c r="BJ19" s="1">
        <f t="shared" si="19"/>
        <v>1835.0376803507208</v>
      </c>
      <c r="BK19" s="1">
        <f t="shared" si="19"/>
        <v>1779.9865499401992</v>
      </c>
      <c r="BL19" s="1">
        <f t="shared" si="19"/>
        <v>1726.5869534419933</v>
      </c>
      <c r="BM19" s="1">
        <f t="shared" si="19"/>
        <v>1674.7893448387335</v>
      </c>
      <c r="BN19" s="1">
        <f t="shared" si="19"/>
        <v>1624.5456644935714</v>
      </c>
      <c r="BO19" s="1">
        <f t="shared" si="19"/>
        <v>1575.8092945587641</v>
      </c>
      <c r="BP19" s="1">
        <f t="shared" si="19"/>
        <v>1528.5350157220012</v>
      </c>
      <c r="BQ19" s="1">
        <f t="shared" si="19"/>
        <v>1482.678965250341</v>
      </c>
      <c r="BR19" s="1">
        <f t="shared" si="19"/>
        <v>1438.1985962928306</v>
      </c>
      <c r="BS19" s="1">
        <f t="shared" si="19"/>
        <v>1395.0526384040456</v>
      </c>
      <c r="BT19" s="1">
        <f t="shared" si="19"/>
        <v>1353.2010592519243</v>
      </c>
      <c r="BU19" s="1">
        <f t="shared" si="19"/>
        <v>1312.6050274743666</v>
      </c>
      <c r="BV19" s="1">
        <f t="shared" si="19"/>
        <v>1273.2268766501356</v>
      </c>
      <c r="BW19" s="1">
        <f t="shared" si="19"/>
        <v>1235.0300703506316</v>
      </c>
      <c r="BX19" s="1">
        <f t="shared" si="19"/>
        <v>1197.9791682401126</v>
      </c>
      <c r="BY19" s="1">
        <f t="shared" si="19"/>
        <v>1162.0397931929092</v>
      </c>
      <c r="BZ19" s="1">
        <f t="shared" si="19"/>
        <v>1127.1785993971218</v>
      </c>
      <c r="CA19" s="1">
        <f t="shared" si="19"/>
        <v>1093.3632414152082</v>
      </c>
      <c r="CB19" s="1">
        <f t="shared" si="19"/>
        <v>1060.5623441727519</v>
      </c>
      <c r="CC19" s="1">
        <f t="shared" si="19"/>
        <v>1028.7454738475692</v>
      </c>
      <c r="CD19" s="1">
        <f t="shared" si="19"/>
        <v>997.88310963214212</v>
      </c>
      <c r="CE19" s="1">
        <f t="shared" si="19"/>
        <v>967.94661634317788</v>
      </c>
      <c r="CF19" s="1">
        <f t="shared" si="19"/>
        <v>938.90821785288256</v>
      </c>
      <c r="CG19" s="1">
        <f t="shared" si="19"/>
        <v>910.74097131729604</v>
      </c>
      <c r="CH19" s="1">
        <f t="shared" si="19"/>
        <v>883.41874217777718</v>
      </c>
      <c r="CI19" s="1">
        <f t="shared" si="19"/>
        <v>856.91617991244379</v>
      </c>
      <c r="CJ19" s="1">
        <f t="shared" si="19"/>
        <v>831.20869451507042</v>
      </c>
      <c r="CK19" s="1">
        <f t="shared" si="19"/>
        <v>806.2724336796183</v>
      </c>
      <c r="CL19" s="1">
        <f t="shared" si="19"/>
        <v>782.08426066922971</v>
      </c>
      <c r="CM19" s="1">
        <f t="shared" si="19"/>
        <v>758.62173284915275</v>
      </c>
      <c r="CN19" s="1">
        <f t="shared" si="19"/>
        <v>735.86308086367819</v>
      </c>
      <c r="CO19" s="1">
        <f t="shared" si="19"/>
        <v>713.78718843776778</v>
      </c>
      <c r="CP19" s="1">
        <f t="shared" si="19"/>
        <v>692.37357278463469</v>
      </c>
      <c r="CQ19" s="1">
        <f t="shared" si="19"/>
        <v>671.60236560109558</v>
      </c>
      <c r="CR19" s="1">
        <f t="shared" si="19"/>
        <v>651.45429463306266</v>
      </c>
      <c r="CS19" s="1">
        <f t="shared" si="19"/>
        <v>631.91066579407072</v>
      </c>
      <c r="CT19" s="1">
        <f t="shared" si="19"/>
        <v>612.95334582024861</v>
      </c>
      <c r="CU19" s="1">
        <f t="shared" si="19"/>
        <v>594.56474544564117</v>
      </c>
      <c r="CV19" s="1">
        <f t="shared" si="19"/>
        <v>576.72780308227186</v>
      </c>
      <c r="CW19" s="1">
        <f t="shared" si="19"/>
        <v>559.42596898980366</v>
      </c>
      <c r="CX19" s="1">
        <f t="shared" si="19"/>
        <v>542.64318992010953</v>
      </c>
      <c r="CY19" s="1">
        <f t="shared" si="19"/>
        <v>526.36389422250625</v>
      </c>
      <c r="CZ19" s="1">
        <f t="shared" si="19"/>
        <v>510.57297739583106</v>
      </c>
      <c r="DA19" s="1">
        <f t="shared" si="19"/>
        <v>495.25578807395613</v>
      </c>
      <c r="DB19" s="1">
        <f t="shared" ref="DB19:EK19" si="20">+DA19*(1+$AQ$26)</f>
        <v>480.39811443173744</v>
      </c>
      <c r="DC19" s="1">
        <f t="shared" si="20"/>
        <v>465.98617099878533</v>
      </c>
      <c r="DD19" s="1">
        <f t="shared" si="20"/>
        <v>452.00658586882173</v>
      </c>
      <c r="DE19" s="1">
        <f t="shared" si="20"/>
        <v>438.44638829275709</v>
      </c>
      <c r="DF19" s="1">
        <f t="shared" si="20"/>
        <v>425.29299664397439</v>
      </c>
      <c r="DG19" s="1">
        <f t="shared" si="20"/>
        <v>412.53420674465514</v>
      </c>
      <c r="DH19" s="1">
        <f t="shared" si="20"/>
        <v>400.15818054231545</v>
      </c>
      <c r="DI19" s="1">
        <f t="shared" si="20"/>
        <v>388.15343512604596</v>
      </c>
      <c r="DJ19" s="1">
        <f t="shared" si="20"/>
        <v>376.50883207226457</v>
      </c>
      <c r="DK19" s="1">
        <f t="shared" si="20"/>
        <v>365.21356711009662</v>
      </c>
      <c r="DL19" s="1">
        <f t="shared" si="20"/>
        <v>354.25716009679371</v>
      </c>
      <c r="DM19" s="1">
        <f t="shared" si="20"/>
        <v>343.62944529388989</v>
      </c>
      <c r="DN19" s="1">
        <f t="shared" si="20"/>
        <v>333.32056193507316</v>
      </c>
      <c r="DO19" s="1">
        <f t="shared" si="20"/>
        <v>323.32094507702095</v>
      </c>
      <c r="DP19" s="1">
        <f t="shared" si="20"/>
        <v>313.62131672471031</v>
      </c>
      <c r="DQ19" s="1">
        <f t="shared" si="20"/>
        <v>304.21267722296898</v>
      </c>
      <c r="DR19" s="1">
        <f t="shared" si="20"/>
        <v>295.08629690627993</v>
      </c>
      <c r="DS19" s="1">
        <f t="shared" si="20"/>
        <v>286.23370799909151</v>
      </c>
      <c r="DT19" s="1">
        <f t="shared" si="20"/>
        <v>277.64669675911875</v>
      </c>
      <c r="DU19" s="1">
        <f t="shared" si="20"/>
        <v>269.3172958563452</v>
      </c>
      <c r="DV19" s="1">
        <f t="shared" si="20"/>
        <v>261.23777698065481</v>
      </c>
      <c r="DW19" s="1">
        <f t="shared" si="20"/>
        <v>253.40064367123517</v>
      </c>
      <c r="DX19" s="1">
        <f t="shared" si="20"/>
        <v>245.79862436109812</v>
      </c>
      <c r="DY19" s="1">
        <f t="shared" si="20"/>
        <v>238.42466563026517</v>
      </c>
      <c r="DZ19" s="1">
        <f t="shared" si="20"/>
        <v>231.27192566135722</v>
      </c>
      <c r="EA19" s="1">
        <f t="shared" si="20"/>
        <v>224.33376789151649</v>
      </c>
      <c r="EB19" s="1">
        <f t="shared" si="20"/>
        <v>217.60375485477098</v>
      </c>
      <c r="EC19" s="1">
        <f t="shared" si="20"/>
        <v>211.07564220912784</v>
      </c>
      <c r="ED19" s="1">
        <f t="shared" si="20"/>
        <v>204.74337294285399</v>
      </c>
      <c r="EE19" s="1">
        <f t="shared" si="20"/>
        <v>198.60107175456838</v>
      </c>
      <c r="EF19" s="1">
        <f t="shared" si="20"/>
        <v>192.64303960193132</v>
      </c>
      <c r="EG19" s="1">
        <f t="shared" si="20"/>
        <v>186.86374841387337</v>
      </c>
      <c r="EH19" s="1">
        <f t="shared" si="20"/>
        <v>181.25783596145715</v>
      </c>
      <c r="EI19" s="1">
        <f t="shared" si="20"/>
        <v>175.82010088261342</v>
      </c>
      <c r="EJ19" s="1">
        <f t="shared" si="20"/>
        <v>170.545497856135</v>
      </c>
      <c r="EK19" s="1">
        <f t="shared" si="20"/>
        <v>165.42913292045094</v>
      </c>
    </row>
    <row r="20" spans="2:141" x14ac:dyDescent="0.2">
      <c r="B20" s="1" t="s">
        <v>41</v>
      </c>
      <c r="C20" s="7">
        <f t="shared" ref="C20:Q20" si="21">+C19/C21</f>
        <v>-0.41217816143632169</v>
      </c>
      <c r="D20" s="7">
        <f t="shared" si="21"/>
        <v>-0.50021477663230218</v>
      </c>
      <c r="E20" s="7">
        <f t="shared" si="21"/>
        <v>-0.42863218095831673</v>
      </c>
      <c r="F20" s="7">
        <f t="shared" si="21"/>
        <v>-0.60037642548924197</v>
      </c>
      <c r="G20" s="7">
        <f t="shared" si="21"/>
        <v>-0.65185647829083371</v>
      </c>
      <c r="H20" s="7">
        <f t="shared" si="21"/>
        <v>-0.71465679820659733</v>
      </c>
      <c r="I20" s="7">
        <f t="shared" si="21"/>
        <v>-0.7170383674392955</v>
      </c>
      <c r="J20" s="7">
        <f t="shared" si="21"/>
        <v>-0.69547257693485665</v>
      </c>
      <c r="K20" s="7">
        <f t="shared" si="21"/>
        <v>-0.47507597089408715</v>
      </c>
      <c r="L20" s="7">
        <f t="shared" si="21"/>
        <v>-0.39756835119817829</v>
      </c>
      <c r="M20" s="7">
        <f t="shared" si="21"/>
        <v>-0.27343588755727349</v>
      </c>
      <c r="N20" s="7">
        <f t="shared" si="21"/>
        <v>-0.20336178667608218</v>
      </c>
      <c r="O20" s="7">
        <f t="shared" si="21"/>
        <v>-0.22681117696867073</v>
      </c>
      <c r="P20" s="7">
        <f t="shared" si="21"/>
        <v>-0.19112996891595183</v>
      </c>
      <c r="Q20" s="7">
        <f t="shared" si="21"/>
        <v>0.12411653610763186</v>
      </c>
      <c r="AA20" s="7">
        <f>+AA19/AA21</f>
        <v>-1.9315980361802814</v>
      </c>
      <c r="AB20" s="7">
        <f>+AB19/AB21</f>
        <v>-2.7699918378934698</v>
      </c>
      <c r="AC20" s="7">
        <f>+AC19/AC21</f>
        <v>-1.3435374149659887</v>
      </c>
      <c r="AD20" s="7">
        <f t="shared" ref="AD20:AN20" si="22">+AD19/AD21</f>
        <v>-0.86939537194188021</v>
      </c>
      <c r="AE20" s="7">
        <f t="shared" si="22"/>
        <v>-0.30917652048405331</v>
      </c>
      <c r="AF20" s="7">
        <f t="shared" si="22"/>
        <v>3.4041852811083059E-2</v>
      </c>
      <c r="AG20" s="7">
        <f t="shared" si="22"/>
        <v>0.54672605970753008</v>
      </c>
      <c r="AH20" s="7">
        <f t="shared" si="22"/>
        <v>1.2945243784098708</v>
      </c>
      <c r="AI20" s="7">
        <f t="shared" si="22"/>
        <v>2.3642023871254167</v>
      </c>
      <c r="AJ20" s="7">
        <f t="shared" si="22"/>
        <v>3.8699161226611363</v>
      </c>
      <c r="AK20" s="7">
        <f t="shared" si="22"/>
        <v>6.9830934129714128</v>
      </c>
      <c r="AL20" s="7">
        <f t="shared" si="22"/>
        <v>11.243023003058418</v>
      </c>
      <c r="AM20" s="7">
        <f t="shared" si="22"/>
        <v>17.009511672258888</v>
      </c>
      <c r="AN20" s="7">
        <f t="shared" si="22"/>
        <v>24.744152458411225</v>
      </c>
    </row>
    <row r="21" spans="2:141" x14ac:dyDescent="0.2">
      <c r="B21" s="1" t="s">
        <v>1</v>
      </c>
      <c r="C21" s="1">
        <v>133.452</v>
      </c>
      <c r="D21" s="1">
        <v>135.024</v>
      </c>
      <c r="E21" s="1">
        <v>136.38499999999999</v>
      </c>
      <c r="F21" s="1">
        <f>+AVERAGE(C21:E21)</f>
        <v>134.95366666666666</v>
      </c>
      <c r="G21" s="1">
        <v>139.29599999999999</v>
      </c>
      <c r="H21" s="1">
        <v>140.51499999999999</v>
      </c>
      <c r="I21" s="1">
        <v>141.422</v>
      </c>
      <c r="J21" s="1">
        <f>+AVERAGE(G21:I21)</f>
        <v>140.41099999999997</v>
      </c>
      <c r="K21" s="1">
        <v>143.476</v>
      </c>
      <c r="L21" s="1">
        <v>144.511</v>
      </c>
      <c r="M21" s="1">
        <v>145.35400000000001</v>
      </c>
      <c r="N21" s="1">
        <f>+AVERAGE(K21:M21)</f>
        <v>144.447</v>
      </c>
      <c r="O21" s="1">
        <v>147.625</v>
      </c>
      <c r="P21" s="1">
        <v>148.95099999999999</v>
      </c>
      <c r="Q21" s="1">
        <v>154.08099999999999</v>
      </c>
      <c r="AA21" s="1">
        <v>135.654</v>
      </c>
      <c r="AB21" s="1">
        <v>140.89500000000001</v>
      </c>
      <c r="AC21" s="1">
        <v>144.94200000000001</v>
      </c>
      <c r="AD21" s="1">
        <v>144.94200000000001</v>
      </c>
      <c r="AE21" s="1">
        <v>144.94200000000001</v>
      </c>
      <c r="AF21" s="1">
        <v>144.94200000000001</v>
      </c>
      <c r="AG21" s="1">
        <v>144.94200000000001</v>
      </c>
      <c r="AH21" s="1">
        <v>144.94200000000001</v>
      </c>
      <c r="AI21" s="1">
        <v>144.94200000000001</v>
      </c>
      <c r="AJ21" s="1">
        <v>144.94200000000001</v>
      </c>
      <c r="AK21" s="1">
        <v>144.94200000000001</v>
      </c>
      <c r="AL21" s="1">
        <v>144.94200000000001</v>
      </c>
      <c r="AM21" s="1">
        <v>144.94200000000001</v>
      </c>
      <c r="AN21" s="1">
        <v>144.94200000000001</v>
      </c>
    </row>
    <row r="23" spans="2:141" x14ac:dyDescent="0.2">
      <c r="B23" s="1" t="s">
        <v>78</v>
      </c>
      <c r="Q23" s="7"/>
    </row>
    <row r="24" spans="2:141" x14ac:dyDescent="0.2">
      <c r="B24" s="1" t="s">
        <v>1</v>
      </c>
      <c r="R24" s="1">
        <v>165</v>
      </c>
    </row>
    <row r="26" spans="2:141" s="3" customFormat="1" x14ac:dyDescent="0.2">
      <c r="B26" s="3" t="s">
        <v>42</v>
      </c>
      <c r="C26" s="3">
        <f t="shared" ref="C26:Q26" si="23">+C8/C6</f>
        <v>0.77747618847227484</v>
      </c>
      <c r="D26" s="3">
        <f t="shared" si="23"/>
        <v>0.78264053386312127</v>
      </c>
      <c r="E26" s="3">
        <f t="shared" si="23"/>
        <v>0.77904696038638577</v>
      </c>
      <c r="F26" s="3">
        <f t="shared" si="23"/>
        <v>0.76923389183758384</v>
      </c>
      <c r="G26" s="3">
        <f t="shared" si="23"/>
        <v>0.77368697319503554</v>
      </c>
      <c r="H26" s="3">
        <f t="shared" si="23"/>
        <v>0.77389919511040328</v>
      </c>
      <c r="I26" s="3">
        <f t="shared" si="23"/>
        <v>0.7767767174441349</v>
      </c>
      <c r="J26" s="3">
        <f t="shared" si="23"/>
        <v>0.78523481492427494</v>
      </c>
      <c r="K26" s="3">
        <f t="shared" si="23"/>
        <v>0.7842851035584506</v>
      </c>
      <c r="L26" s="3">
        <f t="shared" si="23"/>
        <v>0.77398232189020588</v>
      </c>
      <c r="M26" s="3">
        <f t="shared" si="23"/>
        <v>0.77113419293218721</v>
      </c>
      <c r="N26" s="3">
        <f t="shared" si="23"/>
        <v>0.77432825061647537</v>
      </c>
      <c r="O26" s="3">
        <f t="shared" si="23"/>
        <v>0.77573318461938012</v>
      </c>
      <c r="P26" s="3">
        <f t="shared" si="23"/>
        <v>0.77676338431120817</v>
      </c>
      <c r="Q26" s="3">
        <f t="shared" si="23"/>
        <v>0.78609763901366769</v>
      </c>
      <c r="AA26" s="3">
        <f>+AA8/AA6</f>
        <v>0.7766795424156886</v>
      </c>
      <c r="AB26" s="3">
        <f>+AB8/AB6</f>
        <v>0.77791568051947568</v>
      </c>
      <c r="AC26" s="3">
        <f>+AC8/AC6</f>
        <v>0.77560743918186803</v>
      </c>
      <c r="AD26" s="3">
        <f t="shared" ref="AD26:AN26" si="24">+AD8/AD6</f>
        <v>0.8</v>
      </c>
      <c r="AE26" s="3">
        <f t="shared" si="24"/>
        <v>0.8</v>
      </c>
      <c r="AF26" s="3">
        <f t="shared" si="24"/>
        <v>0.8</v>
      </c>
      <c r="AG26" s="3">
        <f t="shared" si="24"/>
        <v>0.79999999999999993</v>
      </c>
      <c r="AH26" s="3">
        <f t="shared" si="24"/>
        <v>0.8</v>
      </c>
      <c r="AI26" s="3">
        <f t="shared" si="24"/>
        <v>0.8</v>
      </c>
      <c r="AJ26" s="3">
        <f t="shared" si="24"/>
        <v>0.8</v>
      </c>
      <c r="AK26" s="3">
        <f t="shared" si="24"/>
        <v>0.8</v>
      </c>
      <c r="AL26" s="3">
        <f t="shared" si="24"/>
        <v>0.8</v>
      </c>
      <c r="AM26" s="3">
        <f t="shared" si="24"/>
        <v>0.8</v>
      </c>
      <c r="AN26" s="3">
        <f t="shared" si="24"/>
        <v>0.8</v>
      </c>
      <c r="AP26" s="3" t="s">
        <v>82</v>
      </c>
      <c r="AQ26" s="3">
        <v>-0.03</v>
      </c>
    </row>
    <row r="27" spans="2:141" s="3" customFormat="1" x14ac:dyDescent="0.2">
      <c r="B27" s="3" t="s">
        <v>21</v>
      </c>
      <c r="C27" s="3">
        <f t="shared" ref="C27:Q27" si="25">+C13/C6</f>
        <v>-0.29925374181149966</v>
      </c>
      <c r="D27" s="3">
        <f t="shared" si="25"/>
        <v>-0.34320317872698075</v>
      </c>
      <c r="E27" s="3">
        <f t="shared" si="25"/>
        <v>-0.24857712977030014</v>
      </c>
      <c r="F27" s="3">
        <f t="shared" si="25"/>
        <v>-0.34198828866314168</v>
      </c>
      <c r="G27" s="3">
        <f t="shared" si="25"/>
        <v>-0.32262696460564722</v>
      </c>
      <c r="H27" s="3">
        <f t="shared" si="25"/>
        <v>-0.32841999820005252</v>
      </c>
      <c r="I27" s="3">
        <f t="shared" si="25"/>
        <v>-0.3019347505465349</v>
      </c>
      <c r="J27" s="3">
        <f t="shared" si="25"/>
        <v>-0.25947701527075212</v>
      </c>
      <c r="K27" s="3">
        <f t="shared" si="25"/>
        <v>-0.19431131661547821</v>
      </c>
      <c r="L27" s="3">
        <f t="shared" si="25"/>
        <v>-0.1683135619894838</v>
      </c>
      <c r="M27" s="3">
        <f t="shared" si="25"/>
        <v>-0.11806351480420232</v>
      </c>
      <c r="N27" s="3">
        <f t="shared" si="25"/>
        <v>-9.5060284919319823E-2</v>
      </c>
      <c r="O27" s="3">
        <f t="shared" si="25"/>
        <v>-9.2725431495279911E-2</v>
      </c>
      <c r="P27" s="3">
        <f t="shared" si="25"/>
        <v>-8.6584926828431927E-2</v>
      </c>
      <c r="Q27" s="3">
        <f t="shared" si="25"/>
        <v>-5.446483285460396E-3</v>
      </c>
      <c r="AA27" s="3">
        <f>+AA13/AA6</f>
        <v>-0.30873867181696613</v>
      </c>
      <c r="AB27" s="3">
        <f>+AB13/AB6</f>
        <v>-0.30013309549693612</v>
      </c>
      <c r="AC27" s="3">
        <f>+AC13/AC6</f>
        <v>-0.14040181774103397</v>
      </c>
      <c r="AD27" s="3">
        <f t="shared" ref="AD27:AN27" si="26">+AD13/AD6</f>
        <v>-0.10691427202819175</v>
      </c>
      <c r="AE27" s="3">
        <f t="shared" si="26"/>
        <v>-5.1268035947472708E-2</v>
      </c>
      <c r="AF27" s="3">
        <f t="shared" si="26"/>
        <v>-2.5217314509573961E-2</v>
      </c>
      <c r="AG27" s="3">
        <f t="shared" si="26"/>
        <v>-2.0862192919110216E-4</v>
      </c>
      <c r="AH27" s="3">
        <f t="shared" si="26"/>
        <v>2.3799722947976679E-2</v>
      </c>
      <c r="AI27" s="3">
        <f t="shared" si="26"/>
        <v>4.6847734030057722E-2</v>
      </c>
      <c r="AJ27" s="3">
        <f t="shared" si="26"/>
        <v>6.8973824668855363E-2</v>
      </c>
      <c r="AK27" s="3">
        <f t="shared" si="26"/>
        <v>0.10834151549750753</v>
      </c>
      <c r="AL27" s="3">
        <f t="shared" si="26"/>
        <v>0.14468436718778122</v>
      </c>
      <c r="AM27" s="3">
        <f t="shared" si="26"/>
        <v>0.17823938382563009</v>
      </c>
      <c r="AN27" s="3">
        <f t="shared" si="26"/>
        <v>0.20922480849193598</v>
      </c>
      <c r="AP27" s="3" t="s">
        <v>83</v>
      </c>
      <c r="AQ27" s="3">
        <v>0.11</v>
      </c>
    </row>
    <row r="28" spans="2:141" s="3" customFormat="1" x14ac:dyDescent="0.2">
      <c r="B28" s="3" t="s">
        <v>22</v>
      </c>
      <c r="C28" s="3">
        <f t="shared" ref="C28:Q28" si="27">+C19/C6</f>
        <v>-0.38579584508128884</v>
      </c>
      <c r="D28" s="3">
        <f t="shared" si="27"/>
        <v>-0.43007692111764834</v>
      </c>
      <c r="E28" s="3">
        <f t="shared" si="27"/>
        <v>-0.33139271218339733</v>
      </c>
      <c r="F28" s="3">
        <f t="shared" si="27"/>
        <v>-0.41112982940418313</v>
      </c>
      <c r="G28" s="3">
        <f t="shared" si="27"/>
        <v>-0.39390153437707404</v>
      </c>
      <c r="H28" s="3">
        <f t="shared" si="27"/>
        <v>-0.39293637967937461</v>
      </c>
      <c r="I28" s="3">
        <f t="shared" si="27"/>
        <v>-0.35356528955011574</v>
      </c>
      <c r="J28" s="3">
        <f t="shared" si="27"/>
        <v>-0.3070247972860386</v>
      </c>
      <c r="K28" s="3">
        <f t="shared" si="27"/>
        <v>-0.19170969883110028</v>
      </c>
      <c r="L28" s="3">
        <f t="shared" si="27"/>
        <v>-0.1482283190315738</v>
      </c>
      <c r="M28" s="3">
        <f t="shared" si="27"/>
        <v>-9.4902101241642625E-2</v>
      </c>
      <c r="N28" s="3">
        <f t="shared" si="27"/>
        <v>-6.4559588225210296E-2</v>
      </c>
      <c r="O28" s="3">
        <f t="shared" si="27"/>
        <v>-6.7410504869106935E-2</v>
      </c>
      <c r="P28" s="3">
        <f t="shared" si="27"/>
        <v>-5.4226769955752173E-2</v>
      </c>
      <c r="Q28" s="3">
        <f t="shared" si="27"/>
        <v>3.456971335915883E-2</v>
      </c>
      <c r="AA28" s="3">
        <f>+AA19/AA6</f>
        <v>-0.38928688159263092</v>
      </c>
      <c r="AB28" s="3">
        <f>+AB19/AB6</f>
        <v>-0.35774272970431215</v>
      </c>
      <c r="AC28" s="3">
        <f>+AC19/AC6</f>
        <v>-0.12043338330389546</v>
      </c>
      <c r="AD28" s="3">
        <f t="shared" ref="AD28:AN28" si="28">+AD19/AD6</f>
        <v>-5.8831751017669798E-2</v>
      </c>
      <c r="AE28" s="3">
        <f t="shared" si="28"/>
        <v>-1.6737513596834088E-2</v>
      </c>
      <c r="AF28" s="3">
        <f t="shared" si="28"/>
        <v>1.4743059360261227E-3</v>
      </c>
      <c r="AG28" s="3">
        <f t="shared" si="28"/>
        <v>1.8942364381401941E-2</v>
      </c>
      <c r="AH28" s="3">
        <f t="shared" si="28"/>
        <v>3.5881007742071439E-2</v>
      </c>
      <c r="AI28" s="3">
        <f t="shared" si="28"/>
        <v>5.2423865055656507E-2</v>
      </c>
      <c r="AJ28" s="3">
        <f t="shared" si="28"/>
        <v>6.8649270196455364E-2</v>
      </c>
      <c r="AK28" s="3">
        <f t="shared" si="28"/>
        <v>9.9099670653226446E-2</v>
      </c>
      <c r="AL28" s="3">
        <f t="shared" si="28"/>
        <v>0.12764313015548079</v>
      </c>
      <c r="AM28" s="3">
        <f t="shared" si="28"/>
        <v>0.1544885080585674</v>
      </c>
      <c r="AN28" s="3">
        <f t="shared" si="28"/>
        <v>0.17979056754266121</v>
      </c>
      <c r="AP28" s="3" t="s">
        <v>84</v>
      </c>
      <c r="AQ28" s="1">
        <f>+NPV(AQ27,AD19:EK19)</f>
        <v>11437.271249536114</v>
      </c>
    </row>
    <row r="29" spans="2:141" s="3" customFormat="1" x14ac:dyDescent="0.2">
      <c r="B29" s="3" t="s">
        <v>23</v>
      </c>
      <c r="C29" s="3">
        <f t="shared" ref="C29:Q29" si="29">+C18/C17</f>
        <v>-9.1362735745211705E-3</v>
      </c>
      <c r="D29" s="3">
        <f t="shared" si="29"/>
        <v>-2.536814938515259E-2</v>
      </c>
      <c r="E29" s="3">
        <f t="shared" si="29"/>
        <v>-3.2443219949842804E-2</v>
      </c>
      <c r="F29" s="3">
        <f t="shared" si="29"/>
        <v>-1.0539050612387435E-2</v>
      </c>
      <c r="G29" s="3">
        <f t="shared" si="29"/>
        <v>-2.8067752088947271E-2</v>
      </c>
      <c r="H29" s="3">
        <f t="shared" si="29"/>
        <v>-2.1992896325018569E-2</v>
      </c>
      <c r="I29" s="3">
        <f t="shared" si="29"/>
        <v>4.8088718779135363E-3</v>
      </c>
      <c r="J29" s="3">
        <f t="shared" si="29"/>
        <v>-2.6252180675536453E-2</v>
      </c>
      <c r="K29" s="3">
        <f t="shared" si="29"/>
        <v>-7.4839157310457885E-2</v>
      </c>
      <c r="L29" s="3">
        <f t="shared" si="29"/>
        <v>-6.8674317814028843E-2</v>
      </c>
      <c r="M29" s="3">
        <f t="shared" si="29"/>
        <v>-0.20220810647307966</v>
      </c>
      <c r="N29" s="3">
        <f t="shared" si="29"/>
        <v>-0.18797266146317756</v>
      </c>
      <c r="O29" s="3">
        <f t="shared" si="29"/>
        <v>-0.36743445234011252</v>
      </c>
      <c r="P29" s="3">
        <f t="shared" si="29"/>
        <v>-0.38839307485979152</v>
      </c>
      <c r="Q29" s="3">
        <f t="shared" si="29"/>
        <v>8.348509537045902E-2</v>
      </c>
      <c r="AA29" s="3">
        <f>+AA18/AA17</f>
        <v>-1.886242213564147E-2</v>
      </c>
      <c r="AB29" s="3">
        <f>+AB18/AB17</f>
        <v>-1.7329197403748383E-2</v>
      </c>
      <c r="AC29" s="3">
        <f>+AC18/AC17</f>
        <v>-0.11300038865137949</v>
      </c>
      <c r="AD29" s="3">
        <f t="shared" ref="AD29:AN29" si="30">+AD18/AD17</f>
        <v>0.2</v>
      </c>
      <c r="AE29" s="3">
        <f t="shared" si="30"/>
        <v>0.20000000000000004</v>
      </c>
      <c r="AF29" s="3">
        <f t="shared" si="30"/>
        <v>0.20000000000000004</v>
      </c>
      <c r="AG29" s="3">
        <f t="shared" si="30"/>
        <v>0.2</v>
      </c>
      <c r="AH29" s="3">
        <f t="shared" si="30"/>
        <v>0.2</v>
      </c>
      <c r="AI29" s="3">
        <f t="shared" si="30"/>
        <v>0.20000000000000004</v>
      </c>
      <c r="AJ29" s="3">
        <f t="shared" si="30"/>
        <v>0.2</v>
      </c>
      <c r="AK29" s="3">
        <f t="shared" si="30"/>
        <v>0.2</v>
      </c>
      <c r="AL29" s="3">
        <f t="shared" si="30"/>
        <v>0.2</v>
      </c>
      <c r="AM29" s="3">
        <f t="shared" si="30"/>
        <v>0.2</v>
      </c>
      <c r="AN29" s="3">
        <f t="shared" si="30"/>
        <v>0.2</v>
      </c>
      <c r="AP29" s="3" t="s">
        <v>43</v>
      </c>
      <c r="AQ29" s="1">
        <f>+Q35</f>
        <v>1102.3119999999999</v>
      </c>
    </row>
    <row r="30" spans="2:141" s="3" customFormat="1" x14ac:dyDescent="0.2">
      <c r="AP30" s="3" t="s">
        <v>85</v>
      </c>
      <c r="AQ30" s="1">
        <f>+AQ28+AQ29</f>
        <v>12539.583249536114</v>
      </c>
    </row>
    <row r="31" spans="2:141" s="3" customFormat="1" x14ac:dyDescent="0.2">
      <c r="B31" s="3" t="s">
        <v>81</v>
      </c>
      <c r="AA31" s="3">
        <f t="shared" ref="AA31:AB31" si="31">+AA10/AA6</f>
        <v>0.25947556083791412</v>
      </c>
      <c r="AB31" s="3">
        <f t="shared" si="31"/>
        <v>0.26503511631189813</v>
      </c>
      <c r="AC31" s="3">
        <f>+AC10/AC6</f>
        <v>0.2162927532790089</v>
      </c>
      <c r="AD31" s="3">
        <f t="shared" ref="AD31:AN31" si="32">+AD10/AD6</f>
        <v>0.2</v>
      </c>
      <c r="AE31" s="3">
        <f t="shared" si="32"/>
        <v>0.2</v>
      </c>
      <c r="AF31" s="3">
        <f t="shared" si="32"/>
        <v>0.2</v>
      </c>
      <c r="AG31" s="3">
        <f t="shared" si="32"/>
        <v>0.2</v>
      </c>
      <c r="AH31" s="3">
        <f t="shared" si="32"/>
        <v>0.2</v>
      </c>
      <c r="AI31" s="3">
        <f t="shared" si="32"/>
        <v>0.2</v>
      </c>
      <c r="AJ31" s="3">
        <f t="shared" si="32"/>
        <v>0.2</v>
      </c>
      <c r="AK31" s="3">
        <f t="shared" si="32"/>
        <v>0.2</v>
      </c>
      <c r="AL31" s="3">
        <f t="shared" si="32"/>
        <v>0.2</v>
      </c>
      <c r="AM31" s="3">
        <f t="shared" si="32"/>
        <v>0.2</v>
      </c>
      <c r="AN31" s="3">
        <f t="shared" si="32"/>
        <v>0.2</v>
      </c>
      <c r="AP31" s="3" t="s">
        <v>86</v>
      </c>
      <c r="AQ31" s="7">
        <f>+AQ30/Main!I5</f>
        <v>82.961687023197911</v>
      </c>
    </row>
    <row r="32" spans="2:141" s="3" customFormat="1" x14ac:dyDescent="0.2">
      <c r="AP32" s="3" t="s">
        <v>87</v>
      </c>
      <c r="AQ32" s="1">
        <f>+Main!I4</f>
        <v>202</v>
      </c>
    </row>
    <row r="33" spans="2:43" s="10" customFormat="1" x14ac:dyDescent="0.2">
      <c r="B33" s="10" t="s">
        <v>24</v>
      </c>
      <c r="G33" s="10">
        <f t="shared" ref="G33:J33" si="33">+G6/C6-1</f>
        <v>0.61677818457265499</v>
      </c>
      <c r="H33" s="10">
        <f t="shared" si="33"/>
        <v>0.62733374086243332</v>
      </c>
      <c r="I33" s="10">
        <f t="shared" si="33"/>
        <v>0.6258531552572506</v>
      </c>
      <c r="J33" s="10">
        <f t="shared" si="33"/>
        <v>0.613906451383744</v>
      </c>
      <c r="K33" s="10">
        <f t="shared" ref="K33:R33" si="34">+K6/G6-1</f>
        <v>0.54239383646325434</v>
      </c>
      <c r="L33" s="10">
        <f t="shared" si="34"/>
        <v>0.51664364559815001</v>
      </c>
      <c r="M33" s="10">
        <f t="shared" si="34"/>
        <v>0.4602154061790682</v>
      </c>
      <c r="N33" s="10">
        <f t="shared" si="34"/>
        <v>0.43057105757107994</v>
      </c>
      <c r="O33" s="10">
        <f t="shared" si="34"/>
        <v>0.39700687389607014</v>
      </c>
      <c r="P33" s="10">
        <f t="shared" si="34"/>
        <v>0.35449357323825192</v>
      </c>
      <c r="Q33" s="10">
        <f t="shared" si="34"/>
        <v>0.32091929321872015</v>
      </c>
      <c r="R33" s="10">
        <f t="shared" si="34"/>
        <v>0.24613741357256802</v>
      </c>
      <c r="AB33" s="10">
        <f>+AB6/AA6-1</f>
        <v>0.62077848759471088</v>
      </c>
      <c r="AC33" s="10">
        <f>+AC6/AB6-1</f>
        <v>0.48215585372694902</v>
      </c>
      <c r="AD33" s="10">
        <f>+AD6/AC6-1</f>
        <v>0.32465465888907041</v>
      </c>
      <c r="AE33" s="10">
        <f t="shared" ref="AE33:AN33" si="35">+AE6/AD6-1</f>
        <v>0.25</v>
      </c>
      <c r="AF33" s="10">
        <f t="shared" si="35"/>
        <v>0.25</v>
      </c>
      <c r="AG33" s="10">
        <f t="shared" si="35"/>
        <v>0.25</v>
      </c>
      <c r="AH33" s="10">
        <f t="shared" si="35"/>
        <v>0.25</v>
      </c>
      <c r="AI33" s="10">
        <f t="shared" si="35"/>
        <v>0.25</v>
      </c>
      <c r="AJ33" s="10">
        <f t="shared" si="35"/>
        <v>0.25</v>
      </c>
      <c r="AK33" s="10">
        <f t="shared" si="35"/>
        <v>0.25</v>
      </c>
      <c r="AL33" s="10">
        <f t="shared" si="35"/>
        <v>0.25</v>
      </c>
      <c r="AM33" s="10">
        <f t="shared" si="35"/>
        <v>0.25</v>
      </c>
      <c r="AN33" s="10">
        <f t="shared" si="35"/>
        <v>0.25</v>
      </c>
      <c r="AP33" s="3" t="s">
        <v>88</v>
      </c>
      <c r="AQ33" s="3">
        <f>+AQ31/AQ32-1</f>
        <v>-0.58929857909307959</v>
      </c>
    </row>
    <row r="35" spans="2:43" x14ac:dyDescent="0.2">
      <c r="B35" s="1" t="s">
        <v>43</v>
      </c>
      <c r="N35" s="1">
        <f>+N36-N50</f>
        <v>966.07299999999987</v>
      </c>
      <c r="O35" s="1">
        <f>+O36-O50</f>
        <v>1190.3779999999999</v>
      </c>
      <c r="P35" s="1">
        <f>+P36-P50</f>
        <v>1318.7930000000001</v>
      </c>
      <c r="Q35" s="1">
        <f>+Q36-Q50</f>
        <v>1102.3119999999999</v>
      </c>
      <c r="AC35" s="1">
        <f>+Q35</f>
        <v>1102.3119999999999</v>
      </c>
      <c r="AD35" s="1">
        <f>+AC35+AD19</f>
        <v>976.30009599999994</v>
      </c>
      <c r="AE35" s="1">
        <f t="shared" ref="AE35:AN35" si="36">+AD35+AE19</f>
        <v>931.4874327680003</v>
      </c>
      <c r="AF35" s="1">
        <f t="shared" si="36"/>
        <v>936.42152699814426</v>
      </c>
      <c r="AG35" s="1">
        <f t="shared" si="36"/>
        <v>1015.6650955442731</v>
      </c>
      <c r="AH35" s="1">
        <f t="shared" si="36"/>
        <v>1203.2960479997566</v>
      </c>
      <c r="AI35" s="1">
        <f t="shared" si="36"/>
        <v>1545.9682703944889</v>
      </c>
      <c r="AJ35" s="1">
        <f t="shared" si="36"/>
        <v>2106.8816530452395</v>
      </c>
      <c r="AK35" s="1">
        <f t="shared" si="36"/>
        <v>3119.0251785081418</v>
      </c>
      <c r="AL35" s="1">
        <f t="shared" si="36"/>
        <v>4748.6114186174354</v>
      </c>
      <c r="AM35" s="1">
        <f t="shared" si="36"/>
        <v>7214.0040594179836</v>
      </c>
      <c r="AN35" s="1">
        <f t="shared" si="36"/>
        <v>10800.471005045023</v>
      </c>
    </row>
    <row r="36" spans="2:43" x14ac:dyDescent="0.2">
      <c r="B36" s="1" t="s">
        <v>3</v>
      </c>
      <c r="N36" s="1">
        <f>1262.206+838.026</f>
        <v>2100.232</v>
      </c>
      <c r="O36" s="1">
        <f>1361.723+962.681</f>
        <v>2324.404</v>
      </c>
      <c r="P36" s="1">
        <f>1438.586+1021.218</f>
        <v>2459.8040000000001</v>
      </c>
      <c r="Q36" s="1">
        <f>1259.197+980.802</f>
        <v>2239.9989999999998</v>
      </c>
    </row>
    <row r="37" spans="2:43" x14ac:dyDescent="0.2">
      <c r="B37" s="1" t="s">
        <v>44</v>
      </c>
      <c r="N37" s="1">
        <v>582.63599999999997</v>
      </c>
      <c r="O37" s="1">
        <v>366.84300000000002</v>
      </c>
      <c r="P37" s="1">
        <v>479.61099999999999</v>
      </c>
      <c r="Q37" s="1">
        <v>506.28399999999999</v>
      </c>
    </row>
    <row r="38" spans="2:43" x14ac:dyDescent="0.2">
      <c r="B38" s="1" t="s">
        <v>45</v>
      </c>
      <c r="N38" s="1">
        <f>115.827+259.407</f>
        <v>375.23399999999998</v>
      </c>
      <c r="O38" s="1">
        <f>119.417+253.386</f>
        <v>372.803</v>
      </c>
      <c r="P38" s="1">
        <f>125.591+255.883</f>
        <v>381.47399999999999</v>
      </c>
      <c r="Q38" s="1">
        <f>135.095+268.079</f>
        <v>403.17399999999998</v>
      </c>
    </row>
    <row r="39" spans="2:43" x14ac:dyDescent="0.2">
      <c r="B39" s="1" t="s">
        <v>46</v>
      </c>
      <c r="N39" s="1">
        <v>91.619</v>
      </c>
      <c r="O39" s="1">
        <v>80.926000000000002</v>
      </c>
      <c r="P39" s="1">
        <v>77.701999999999998</v>
      </c>
      <c r="Q39" s="1">
        <v>88.635999999999996</v>
      </c>
    </row>
    <row r="40" spans="2:43" x14ac:dyDescent="0.2">
      <c r="B40" s="1" t="s">
        <v>47</v>
      </c>
      <c r="N40" s="1">
        <v>242.35499999999999</v>
      </c>
      <c r="O40" s="1">
        <v>265.59199999999998</v>
      </c>
      <c r="P40" s="1">
        <v>294.495</v>
      </c>
      <c r="Q40" s="1">
        <v>330.64600000000002</v>
      </c>
    </row>
    <row r="41" spans="2:43" x14ac:dyDescent="0.2">
      <c r="B41" s="1" t="s">
        <v>48</v>
      </c>
      <c r="N41" s="1">
        <v>70.671000000000006</v>
      </c>
      <c r="O41" s="1">
        <v>77.137</v>
      </c>
      <c r="P41" s="1">
        <v>87.804000000000002</v>
      </c>
      <c r="Q41" s="1">
        <v>92.472999999999999</v>
      </c>
    </row>
    <row r="42" spans="2:43" x14ac:dyDescent="0.2">
      <c r="B42" s="1" t="s">
        <v>49</v>
      </c>
      <c r="N42" s="1">
        <f>25.859+89.192</f>
        <v>115.05099999999999</v>
      </c>
      <c r="O42" s="1">
        <f>25.623+92.415</f>
        <v>118.03800000000001</v>
      </c>
      <c r="P42" s="1">
        <f>92.415+22.54</f>
        <v>114.95500000000001</v>
      </c>
      <c r="Q42" s="1">
        <f>417.029+68.959</f>
        <v>485.988</v>
      </c>
    </row>
    <row r="43" spans="2:43" x14ac:dyDescent="0.2">
      <c r="B43" s="1" t="s">
        <v>17</v>
      </c>
      <c r="N43" s="1">
        <v>30.518999999999998</v>
      </c>
      <c r="O43" s="1">
        <v>29.841000000000001</v>
      </c>
      <c r="P43" s="1">
        <v>38.381</v>
      </c>
      <c r="Q43" s="1">
        <v>51.551000000000002</v>
      </c>
    </row>
    <row r="44" spans="2:43" s="9" customFormat="1" x14ac:dyDescent="0.2">
      <c r="B44" s="9" t="s">
        <v>50</v>
      </c>
      <c r="N44" s="9">
        <f>+SUM(N36:N43)</f>
        <v>3608.3169999999996</v>
      </c>
      <c r="O44" s="9">
        <f>+SUM(O36:O43)</f>
        <v>3635.5839999999998</v>
      </c>
      <c r="P44" s="9">
        <f>+SUM(P36:P43)</f>
        <v>3934.2260000000001</v>
      </c>
      <c r="Q44" s="9">
        <f>+SUM(Q36:Q43)</f>
        <v>4198.7510000000002</v>
      </c>
    </row>
    <row r="45" spans="2:43" x14ac:dyDescent="0.2">
      <c r="B45" s="1" t="s">
        <v>51</v>
      </c>
      <c r="N45" s="1">
        <v>18.481000000000002</v>
      </c>
      <c r="O45" s="1">
        <v>23.234000000000002</v>
      </c>
      <c r="P45" s="1">
        <v>17.137</v>
      </c>
      <c r="Q45" s="1">
        <v>28.03</v>
      </c>
    </row>
    <row r="46" spans="2:43" x14ac:dyDescent="0.2">
      <c r="B46" s="1" t="s">
        <v>52</v>
      </c>
      <c r="N46" s="1">
        <v>64.974999999999994</v>
      </c>
      <c r="O46" s="1">
        <v>70.95</v>
      </c>
      <c r="P46" s="1">
        <v>68.216999999999999</v>
      </c>
      <c r="Q46" s="1">
        <v>82.638999999999996</v>
      </c>
    </row>
    <row r="47" spans="2:43" x14ac:dyDescent="0.2">
      <c r="B47" s="1" t="s">
        <v>53</v>
      </c>
      <c r="N47" s="1">
        <v>136.80000000000001</v>
      </c>
      <c r="O47" s="1">
        <v>97.567999999999998</v>
      </c>
      <c r="P47" s="1">
        <v>137.36199999999999</v>
      </c>
      <c r="Q47" s="1">
        <v>163.119</v>
      </c>
    </row>
    <row r="48" spans="2:43" x14ac:dyDescent="0.2">
      <c r="B48" s="1" t="s">
        <v>54</v>
      </c>
      <c r="N48" s="1">
        <f>1281.143+158.533</f>
        <v>1439.6759999999999</v>
      </c>
      <c r="O48" s="1">
        <f>1244.528+155.016</f>
        <v>1399.5440000000001</v>
      </c>
      <c r="P48" s="1">
        <f>1316.416+185.759</f>
        <v>1502.175</v>
      </c>
      <c r="Q48" s="1">
        <f>1376.676+200.338</f>
        <v>1577.0139999999999</v>
      </c>
    </row>
    <row r="49" spans="2:17" x14ac:dyDescent="0.2">
      <c r="B49" s="1" t="s">
        <v>48</v>
      </c>
      <c r="N49" s="1">
        <f>34.469+41.917</f>
        <v>76.385999999999996</v>
      </c>
      <c r="O49" s="1">
        <f>38.138+43.606</f>
        <v>81.744</v>
      </c>
      <c r="P49" s="1">
        <f>44.773+47.906</f>
        <v>92.679000000000002</v>
      </c>
      <c r="Q49" s="1">
        <f>50.857+46.897</f>
        <v>97.753999999999991</v>
      </c>
    </row>
    <row r="50" spans="2:17" x14ac:dyDescent="0.2">
      <c r="B50" s="1" t="s">
        <v>4</v>
      </c>
      <c r="N50" s="1">
        <v>1134.1590000000001</v>
      </c>
      <c r="O50" s="1">
        <v>1134.0260000000001</v>
      </c>
      <c r="P50" s="1">
        <v>1141.011</v>
      </c>
      <c r="Q50" s="1">
        <v>1137.6869999999999</v>
      </c>
    </row>
    <row r="51" spans="2:17" x14ac:dyDescent="0.2">
      <c r="B51" s="1" t="s">
        <v>17</v>
      </c>
      <c r="N51" s="1">
        <v>12.728</v>
      </c>
      <c r="O51" s="1">
        <v>20.992999999999999</v>
      </c>
      <c r="P51" s="1">
        <v>16.789000000000001</v>
      </c>
      <c r="Q51" s="1">
        <v>19.369</v>
      </c>
    </row>
    <row r="52" spans="2:17" s="9" customFormat="1" x14ac:dyDescent="0.2">
      <c r="B52" s="9" t="s">
        <v>55</v>
      </c>
      <c r="N52" s="9">
        <f>+SUM(N45:N51)</f>
        <v>2883.2049999999999</v>
      </c>
      <c r="O52" s="9">
        <f>+SUM(O45:O51)</f>
        <v>2828.0589999999997</v>
      </c>
      <c r="P52" s="9">
        <f>+SUM(P45:P51)</f>
        <v>2975.3700000000003</v>
      </c>
      <c r="Q52" s="9">
        <f>+SUM(Q45:Q51)</f>
        <v>3105.6119999999996</v>
      </c>
    </row>
    <row r="53" spans="2:17" x14ac:dyDescent="0.2">
      <c r="B53" s="1" t="s">
        <v>56</v>
      </c>
      <c r="N53" s="1">
        <v>725.11199999999997</v>
      </c>
      <c r="O53" s="1">
        <v>807.52499999999998</v>
      </c>
      <c r="P53" s="1">
        <v>958.85599999999999</v>
      </c>
      <c r="Q53" s="1">
        <v>1093.1389999999999</v>
      </c>
    </row>
    <row r="54" spans="2:17" x14ac:dyDescent="0.2">
      <c r="B54" s="1" t="s">
        <v>57</v>
      </c>
      <c r="N54" s="1">
        <f>+N53+N52</f>
        <v>3608.317</v>
      </c>
      <c r="O54" s="1">
        <f>+O53+O52</f>
        <v>3635.5839999999998</v>
      </c>
      <c r="P54" s="1">
        <f>+P53+P52</f>
        <v>3934.2260000000006</v>
      </c>
      <c r="Q54" s="1">
        <f>+Q53+Q52</f>
        <v>4198.7509999999993</v>
      </c>
    </row>
    <row r="55" spans="2:17" x14ac:dyDescent="0.2">
      <c r="O55" s="3"/>
      <c r="P55" s="3"/>
      <c r="Q55" s="3"/>
    </row>
    <row r="56" spans="2:17" x14ac:dyDescent="0.2">
      <c r="B56" s="1" t="s">
        <v>58</v>
      </c>
      <c r="F56" s="1">
        <f t="shared" ref="F56:P56" si="37">+SUM(C19:F19)</f>
        <v>-262.029</v>
      </c>
      <c r="G56" s="1">
        <f t="shared" si="37"/>
        <v>-297.82399999999996</v>
      </c>
      <c r="H56" s="1">
        <f t="shared" si="37"/>
        <v>-330.70300000000003</v>
      </c>
      <c r="I56" s="1">
        <f t="shared" si="37"/>
        <v>-373.649</v>
      </c>
      <c r="J56" s="1">
        <f t="shared" si="37"/>
        <v>-390.27800000000019</v>
      </c>
      <c r="K56" s="1">
        <f t="shared" si="37"/>
        <v>-367.63900000000024</v>
      </c>
      <c r="L56" s="1">
        <f t="shared" si="37"/>
        <v>-324.67200000000014</v>
      </c>
      <c r="M56" s="1">
        <f t="shared" si="37"/>
        <v>-263.01200000000006</v>
      </c>
      <c r="N56" s="1">
        <f t="shared" si="37"/>
        <v>-194.73499999999996</v>
      </c>
      <c r="O56" s="1">
        <f t="shared" si="37"/>
        <v>-160.05599999999993</v>
      </c>
      <c r="P56" s="1">
        <f t="shared" si="37"/>
        <v>-131.07199999999995</v>
      </c>
      <c r="Q56" s="1">
        <f>+SUM(N19:Q19)</f>
        <v>-72.202999999999975</v>
      </c>
    </row>
    <row r="57" spans="2:17" s="3" customFormat="1" x14ac:dyDescent="0.2">
      <c r="B57" s="3" t="s">
        <v>59</v>
      </c>
      <c r="N57" s="3">
        <f t="shared" ref="N57:P57" si="38">+N56/(N37+N38+N39+N40+N41+N43)</f>
        <v>-0.13979199359096761</v>
      </c>
      <c r="O57" s="3">
        <f t="shared" si="38"/>
        <v>-0.13414664809385635</v>
      </c>
      <c r="P57" s="3">
        <f t="shared" si="38"/>
        <v>-9.6414256469631046E-2</v>
      </c>
      <c r="Q57" s="3">
        <f>+Q56/(Q37+Q38+Q39+Q40+Q41+Q43)</f>
        <v>-4.9025505783682914E-2</v>
      </c>
    </row>
    <row r="59" spans="2:17" x14ac:dyDescent="0.2">
      <c r="B59" s="1" t="s">
        <v>60</v>
      </c>
      <c r="K59" s="1">
        <f>+K19</f>
        <v>-68.162000000000049</v>
      </c>
      <c r="L59" s="1">
        <f>+L19</f>
        <v>-57.452999999999939</v>
      </c>
      <c r="M59" s="1">
        <f>+M19</f>
        <v>-39.744999999999933</v>
      </c>
      <c r="N59" s="1">
        <f>+N19</f>
        <v>-29.375000000000043</v>
      </c>
      <c r="O59" s="1">
        <f t="shared" ref="O59:P59" si="39">+O19</f>
        <v>-33.483000000000018</v>
      </c>
      <c r="P59" s="1">
        <f t="shared" si="39"/>
        <v>-28.468999999999937</v>
      </c>
      <c r="Q59" s="1">
        <f>+Q19</f>
        <v>19.124000000000024</v>
      </c>
    </row>
    <row r="60" spans="2:17" x14ac:dyDescent="0.2">
      <c r="B60" s="1" t="s">
        <v>61</v>
      </c>
      <c r="K60" s="1">
        <v>-68.162000000000006</v>
      </c>
      <c r="L60" s="1">
        <f>-125.615-K60</f>
        <v>-57.452999999999989</v>
      </c>
      <c r="M60" s="1">
        <f>-171.661-SUM(K60:L60)</f>
        <v>-46.046000000000006</v>
      </c>
      <c r="N60" s="1">
        <f>-202.335-SUM(K60:M60)</f>
        <v>-30.674000000000007</v>
      </c>
      <c r="O60" s="1">
        <v>-33.482999999999997</v>
      </c>
      <c r="P60" s="1">
        <f>-61.952-O60</f>
        <v>-28.469000000000001</v>
      </c>
      <c r="Q60" s="1">
        <f>-42.828-SUM(O60:P60)</f>
        <v>19.123999999999995</v>
      </c>
    </row>
    <row r="61" spans="2:17" x14ac:dyDescent="0.2">
      <c r="B61" s="1" t="s">
        <v>62</v>
      </c>
      <c r="K61" s="1">
        <f>11.876+2.552+22.325+0.972</f>
        <v>37.725000000000001</v>
      </c>
      <c r="L61" s="1">
        <f>25.241+5.103+46.053+1.945-K61</f>
        <v>40.616999999999983</v>
      </c>
      <c r="M61" s="1">
        <f>39.769+8.078+71.368+2.919-SUM(K61:L61)</f>
        <v>43.792000000000002</v>
      </c>
      <c r="N61" s="1">
        <f>55.756+11.06+98.718+3.894-SUM(K61:M61)</f>
        <v>47.294000000000011</v>
      </c>
      <c r="O61" s="1">
        <f>13.962+3.036+30.111+0.977</f>
        <v>48.085999999999999</v>
      </c>
      <c r="P61" s="1">
        <f>29.361+6.119+61.504+1.955-O61</f>
        <v>50.853000000000009</v>
      </c>
      <c r="Q61" s="1">
        <f>47.033+9.5+94.711+2.934-SUM(O61:P61)</f>
        <v>55.23899999999999</v>
      </c>
    </row>
    <row r="62" spans="2:17" x14ac:dyDescent="0.2">
      <c r="B62" s="1" t="s">
        <v>48</v>
      </c>
      <c r="K62" s="1">
        <v>7.1079999999999997</v>
      </c>
      <c r="L62" s="1">
        <f>14.988-K62</f>
        <v>7.88</v>
      </c>
      <c r="M62" s="1">
        <f>23.32-SUM(K62:L62)</f>
        <v>8.3320000000000007</v>
      </c>
      <c r="N62" s="1">
        <f>32.212-SUM(K62:M62)</f>
        <v>8.892000000000003</v>
      </c>
      <c r="O62" s="1">
        <v>9.9030000000000005</v>
      </c>
      <c r="P62" s="1">
        <f>21.633-O62</f>
        <v>11.729999999999999</v>
      </c>
      <c r="Q62" s="1">
        <f>34.913-SUM(O62:P62)</f>
        <v>13.279999999999998</v>
      </c>
    </row>
    <row r="63" spans="2:17" x14ac:dyDescent="0.2">
      <c r="B63" s="1" t="s">
        <v>63</v>
      </c>
      <c r="K63" s="1">
        <v>105.173</v>
      </c>
      <c r="L63" s="1">
        <f>214.911-K63</f>
        <v>109.738</v>
      </c>
      <c r="M63" s="1">
        <f>322.73-SUM(K63:L63)</f>
        <v>107.81900000000002</v>
      </c>
      <c r="N63" s="1">
        <f>444.834-SUM(K63:M63)</f>
        <v>122.10399999999998</v>
      </c>
      <c r="O63" s="1">
        <v>129.13800000000001</v>
      </c>
      <c r="P63" s="1">
        <f>269.57-O63</f>
        <v>140.43199999999999</v>
      </c>
      <c r="Q63" s="1">
        <f>382.806-SUM(O63:P63)</f>
        <v>113.23599999999999</v>
      </c>
    </row>
    <row r="64" spans="2:17" x14ac:dyDescent="0.2">
      <c r="B64" s="1" t="s">
        <v>64</v>
      </c>
      <c r="K64" s="1">
        <v>-0.16500000000000001</v>
      </c>
      <c r="L64" s="1">
        <f>-1.433-K64</f>
        <v>-1.268</v>
      </c>
      <c r="M64" s="1">
        <f>-3.389-SUM(K64:L64)</f>
        <v>-1.9559999999999997</v>
      </c>
      <c r="N64" s="1">
        <f>-6.582-SUM(K64:M64)</f>
        <v>-3.1930000000000001</v>
      </c>
      <c r="O64" s="1">
        <v>-3.1989999999999998</v>
      </c>
      <c r="P64" s="1">
        <f>-9.582-O64</f>
        <v>-6.3830000000000009</v>
      </c>
      <c r="Q64" s="1">
        <f>-14.584-SUM(O64:P64)</f>
        <v>-5.0019999999999989</v>
      </c>
    </row>
    <row r="65" spans="2:17" x14ac:dyDescent="0.2">
      <c r="B65" s="1" t="s">
        <v>65</v>
      </c>
      <c r="K65" s="1">
        <v>0</v>
      </c>
      <c r="L65" s="1">
        <v>0</v>
      </c>
      <c r="M65" s="1">
        <v>0</v>
      </c>
      <c r="N65" s="1">
        <v>-3.319</v>
      </c>
      <c r="O65" s="1">
        <v>1.5640000000000001</v>
      </c>
      <c r="P65" s="1">
        <f>2.841-O65</f>
        <v>1.2770000000000001</v>
      </c>
      <c r="Q65" s="1">
        <f>1.574-SUM(O65:P65)</f>
        <v>-1.2670000000000001</v>
      </c>
    </row>
    <row r="66" spans="2:17" x14ac:dyDescent="0.2">
      <c r="B66" s="1" t="s">
        <v>66</v>
      </c>
      <c r="K66" s="1">
        <v>6.5000000000000002E-2</v>
      </c>
      <c r="L66" s="1">
        <f>0.009-K66</f>
        <v>-5.6000000000000001E-2</v>
      </c>
      <c r="M66" s="1">
        <f>0.158-SUM(K66:L66)</f>
        <v>0.14899999999999999</v>
      </c>
      <c r="N66" s="1">
        <f>0.352-SUM(K66:M66)</f>
        <v>0.19399999999999998</v>
      </c>
      <c r="O66" s="1">
        <v>-4.2999999999999997E-2</v>
      </c>
      <c r="P66" s="1">
        <f>-1.437-O66</f>
        <v>-1.3940000000000001</v>
      </c>
      <c r="Q66" s="1">
        <f>-5.769-SUM(O66:P66)</f>
        <v>-4.3319999999999999</v>
      </c>
    </row>
    <row r="67" spans="2:17" x14ac:dyDescent="0.2">
      <c r="B67" s="1" t="s">
        <v>17</v>
      </c>
      <c r="K67" s="1">
        <v>0.248</v>
      </c>
      <c r="L67" s="1">
        <f>-1.48-K67</f>
        <v>-1.728</v>
      </c>
      <c r="M67" s="1">
        <f>-2.087-SUM(K67:L67)</f>
        <v>-0.60700000000000021</v>
      </c>
      <c r="N67" s="1">
        <f>-0.82-SUM(K67:M67)</f>
        <v>1.2670000000000003</v>
      </c>
      <c r="O67" s="1">
        <v>1.0309999999999999</v>
      </c>
      <c r="P67" s="1">
        <f>1.403-O67</f>
        <v>0.37200000000000011</v>
      </c>
      <c r="Q67" s="1">
        <f>1.717-SUM(O67:P67)</f>
        <v>0.31400000000000006</v>
      </c>
    </row>
    <row r="68" spans="2:17" x14ac:dyDescent="0.2">
      <c r="B68" s="1" t="s">
        <v>54</v>
      </c>
      <c r="K68" s="1">
        <v>-15.34</v>
      </c>
      <c r="L68" s="1">
        <v>90.861999999999995</v>
      </c>
      <c r="M68" s="1">
        <v>154.256</v>
      </c>
      <c r="N68" s="1">
        <f>418.564-SUM(K68:M68)</f>
        <v>188.78600000000003</v>
      </c>
      <c r="O68" s="1">
        <v>-40.154000000000003</v>
      </c>
      <c r="P68" s="1">
        <v>62.476999999999997</v>
      </c>
      <c r="Q68" s="1">
        <v>132.35400000000001</v>
      </c>
    </row>
    <row r="69" spans="2:17" x14ac:dyDescent="0.2">
      <c r="B69" s="1" t="s">
        <v>67</v>
      </c>
      <c r="K69" s="1">
        <f>130.636-26.795-7.579+3+3.627-32.797-8.287</f>
        <v>61.805</v>
      </c>
      <c r="L69" s="1">
        <f>40.8-64.202-7.8+5.228+5.899-17.651-14.92-K69</f>
        <v>-114.45099999999999</v>
      </c>
      <c r="M69" s="1">
        <f>23.005-110.566-29.6605-4.079+14.861+10.933-23.603-SUM(K69:L69)</f>
        <v>-66.46350000000001</v>
      </c>
      <c r="N69" s="1">
        <f>-183.858-176.95-39.922-8.416+26.814+24.538-32.197-SUM(K69:M69)</f>
        <v>-270.88149999999996</v>
      </c>
      <c r="O69" s="1">
        <f>215.082-27.68+1.349+4.596+4.859-39.232-11.011</f>
        <v>147.96299999999999</v>
      </c>
      <c r="P69" s="1">
        <f>102.374-67.744+2.66-2.412+6.02+0.562-22.477-O69</f>
        <v>-128.97999999999999</v>
      </c>
      <c r="Q69" s="1">
        <f>78.406-122.651-23.452+7.52+14.647+12.816-35.358-SUM(O69:P69)</f>
        <v>-87.054999999999993</v>
      </c>
    </row>
    <row r="70" spans="2:17" s="9" customFormat="1" x14ac:dyDescent="0.2">
      <c r="B70" s="9" t="s">
        <v>68</v>
      </c>
      <c r="K70" s="9">
        <f t="shared" ref="K70:Q70" si="40">+SUM(K60:K69)</f>
        <v>128.45699999999999</v>
      </c>
      <c r="L70" s="9">
        <f t="shared" si="40"/>
        <v>74.140999999999991</v>
      </c>
      <c r="M70" s="9">
        <f t="shared" si="40"/>
        <v>199.27550000000002</v>
      </c>
      <c r="N70" s="9">
        <f t="shared" si="40"/>
        <v>60.469500000000039</v>
      </c>
      <c r="O70" s="9">
        <f t="shared" si="40"/>
        <v>260.80599999999998</v>
      </c>
      <c r="P70" s="9">
        <f t="shared" si="40"/>
        <v>101.91499999999999</v>
      </c>
      <c r="Q70" s="9">
        <f t="shared" si="40"/>
        <v>235.89099999999996</v>
      </c>
    </row>
    <row r="71" spans="2:17" s="9" customFormat="1" x14ac:dyDescent="0.2"/>
    <row r="72" spans="2:17" x14ac:dyDescent="0.2">
      <c r="B72" s="1" t="s">
        <v>69</v>
      </c>
      <c r="K72" s="1">
        <f>-25.202-7.641</f>
        <v>-32.843000000000004</v>
      </c>
      <c r="L72" s="1">
        <f>-43.883-15.623-K72</f>
        <v>-26.662999999999997</v>
      </c>
      <c r="M72" s="1">
        <f>+-70.127-23.962-SUM(K72:L72)</f>
        <v>-34.582999999999998</v>
      </c>
      <c r="N72" s="1">
        <f>-97.197-31.527-SUM(K72:M72)</f>
        <v>-34.634999999999991</v>
      </c>
      <c r="O72" s="1">
        <f>-28.659-7.429</f>
        <v>-36.088000000000001</v>
      </c>
      <c r="P72" s="1">
        <f>-59.553-17.816-O72</f>
        <v>-41.280999999999999</v>
      </c>
      <c r="Q72" s="1">
        <f>-95.204-32.453-SUM(O72:P72)</f>
        <v>-50.287999999999997</v>
      </c>
    </row>
    <row r="73" spans="2:17" x14ac:dyDescent="0.2">
      <c r="B73" s="1" t="s">
        <v>70</v>
      </c>
      <c r="K73" s="1">
        <v>0</v>
      </c>
      <c r="L73" s="1">
        <v>0</v>
      </c>
      <c r="M73" s="1">
        <f>-15.643-SUM(K73:L73)</f>
        <v>-15.643000000000001</v>
      </c>
      <c r="N73" s="1">
        <f>-15.643-SUM(K73:M73)</f>
        <v>0</v>
      </c>
      <c r="O73" s="1">
        <v>-4.3769999999999998</v>
      </c>
      <c r="P73" s="1">
        <f>-4.377-O73</f>
        <v>0</v>
      </c>
      <c r="Q73" s="1">
        <f>-361.781-SUM(O73:P73)</f>
        <v>-357.404</v>
      </c>
    </row>
    <row r="74" spans="2:17" x14ac:dyDescent="0.2">
      <c r="B74" s="1" t="s">
        <v>71</v>
      </c>
      <c r="K74" s="1">
        <f>-0.7-210.255+186.096</f>
        <v>-24.85899999999998</v>
      </c>
      <c r="L74" s="1">
        <f>-1.2-513.743+586.801-K74</f>
        <v>96.716999999999928</v>
      </c>
      <c r="M74" s="1">
        <f>-2.2-740.239+748.166+25.083-SUM(K74:L74)</f>
        <v>-41.047999999999973</v>
      </c>
      <c r="N74" s="1">
        <f>-3.206-1064.143+901.849+50.53-SUM(K74:M74)</f>
        <v>-145.77999999999986</v>
      </c>
      <c r="O74" s="1">
        <f>+-375.929+253.849</f>
        <v>-122.07999999999998</v>
      </c>
      <c r="P74" s="1">
        <f>+-2-761.796+594.687+2.105-O74</f>
        <v>-44.924000000000063</v>
      </c>
      <c r="Q74" s="1">
        <f>+-2-1003.972+839.253+47.165-SUM(O74:P74)</f>
        <v>47.450000000000102</v>
      </c>
    </row>
    <row r="75" spans="2:17" x14ac:dyDescent="0.2">
      <c r="B75" s="1" t="s">
        <v>72</v>
      </c>
      <c r="K75" s="1">
        <f t="shared" ref="K75:Q75" si="41">+SUM(K72:K74)</f>
        <v>-57.701999999999984</v>
      </c>
      <c r="L75" s="1">
        <f t="shared" si="41"/>
        <v>70.053999999999931</v>
      </c>
      <c r="M75" s="1">
        <f t="shared" si="41"/>
        <v>-91.273999999999972</v>
      </c>
      <c r="N75" s="1">
        <f t="shared" si="41"/>
        <v>-180.41499999999985</v>
      </c>
      <c r="O75" s="1">
        <f t="shared" si="41"/>
        <v>-162.54499999999999</v>
      </c>
      <c r="P75" s="1">
        <f t="shared" si="41"/>
        <v>-86.205000000000069</v>
      </c>
      <c r="Q75" s="1">
        <f t="shared" si="41"/>
        <v>-360.2419999999999</v>
      </c>
    </row>
    <row r="77" spans="2:17" x14ac:dyDescent="0.2">
      <c r="B77" s="1" t="s">
        <v>73</v>
      </c>
      <c r="K77" s="1">
        <v>0.98199999999999998</v>
      </c>
      <c r="L77" s="1">
        <f>2.104-K77</f>
        <v>1.1220000000000001</v>
      </c>
      <c r="M77" s="1">
        <f>3.194-SUM(K77:L77)</f>
        <v>1.0899999999999999</v>
      </c>
      <c r="N77" s="1">
        <f>3.944-SUM(K77:M77)</f>
        <v>0.75</v>
      </c>
      <c r="O77" s="1">
        <v>0</v>
      </c>
      <c r="P77" s="1">
        <v>3.8479999999999999</v>
      </c>
      <c r="Q77" s="1">
        <f>11.287-SUM(O77:P77)</f>
        <v>7.4390000000000009</v>
      </c>
    </row>
    <row r="78" spans="2:17" x14ac:dyDescent="0.2">
      <c r="B78" s="1" t="s">
        <v>74</v>
      </c>
      <c r="K78" s="1">
        <v>0</v>
      </c>
      <c r="L78" s="1">
        <f>11.41-K78</f>
        <v>11.41</v>
      </c>
      <c r="M78" s="1">
        <f>11.41-SUM(K78:L78)</f>
        <v>0</v>
      </c>
      <c r="N78" s="1">
        <f>42.263-SUM(K78:M78)</f>
        <v>30.852999999999998</v>
      </c>
      <c r="O78" s="1">
        <v>1.256</v>
      </c>
      <c r="P78" s="1">
        <f>18.407-O78</f>
        <v>17.151</v>
      </c>
      <c r="Q78" s="1">
        <f>18.407-SUM(O78:P78)</f>
        <v>0</v>
      </c>
    </row>
    <row r="79" spans="2:17" x14ac:dyDescent="0.2">
      <c r="B79" s="1" t="s">
        <v>79</v>
      </c>
      <c r="K79" s="1">
        <v>0</v>
      </c>
      <c r="L79" s="1">
        <v>0</v>
      </c>
      <c r="M79" s="1">
        <v>0</v>
      </c>
      <c r="N79" s="1">
        <v>-0.215</v>
      </c>
    </row>
    <row r="80" spans="2:17" x14ac:dyDescent="0.2">
      <c r="B80" s="1" t="s">
        <v>17</v>
      </c>
      <c r="K80" s="1">
        <v>-2E-3</v>
      </c>
      <c r="L80" s="1">
        <f>-0.002-K80</f>
        <v>0</v>
      </c>
      <c r="M80" s="1">
        <f>-0.002-SUM(K80:L80)</f>
        <v>0</v>
      </c>
      <c r="N80" s="1">
        <f>-0.002-SUM(K80:M80)</f>
        <v>0</v>
      </c>
      <c r="O80" s="1">
        <v>0</v>
      </c>
      <c r="P80" s="1">
        <f>0-O80</f>
        <v>0</v>
      </c>
      <c r="Q80" s="1">
        <f>0-SUM(O80:P80)</f>
        <v>0</v>
      </c>
    </row>
    <row r="81" spans="2:17" x14ac:dyDescent="0.2">
      <c r="B81" s="1" t="s">
        <v>75</v>
      </c>
      <c r="K81" s="1">
        <f t="shared" ref="K81:Q81" si="42">+SUM(K77:K80)</f>
        <v>0.98</v>
      </c>
      <c r="L81" s="1">
        <f t="shared" si="42"/>
        <v>12.532</v>
      </c>
      <c r="M81" s="1">
        <f t="shared" si="42"/>
        <v>1.0899999999999999</v>
      </c>
      <c r="N81" s="1">
        <f t="shared" si="42"/>
        <v>31.387999999999998</v>
      </c>
      <c r="O81" s="1">
        <f t="shared" si="42"/>
        <v>1.256</v>
      </c>
      <c r="P81" s="1">
        <f t="shared" si="42"/>
        <v>20.998999999999999</v>
      </c>
      <c r="Q81" s="1">
        <f t="shared" si="42"/>
        <v>7.4390000000000009</v>
      </c>
    </row>
    <row r="82" spans="2:17" x14ac:dyDescent="0.2">
      <c r="B82" s="1" t="s">
        <v>76</v>
      </c>
      <c r="K82" s="1">
        <f t="shared" ref="K82:Q82" si="43">+K70+K75+K81</f>
        <v>71.735000000000014</v>
      </c>
      <c r="L82" s="1">
        <f t="shared" si="43"/>
        <v>156.72699999999995</v>
      </c>
      <c r="M82" s="1">
        <f t="shared" si="43"/>
        <v>109.09150000000005</v>
      </c>
      <c r="N82" s="1">
        <f t="shared" si="43"/>
        <v>-88.557499999999806</v>
      </c>
      <c r="O82" s="1">
        <f t="shared" si="43"/>
        <v>99.516999999999996</v>
      </c>
      <c r="P82" s="1">
        <f t="shared" si="43"/>
        <v>36.708999999999918</v>
      </c>
      <c r="Q82" s="1">
        <f t="shared" si="43"/>
        <v>-116.91199999999994</v>
      </c>
    </row>
    <row r="84" spans="2:17" x14ac:dyDescent="0.2">
      <c r="B84" s="1" t="s">
        <v>77</v>
      </c>
      <c r="K84" s="1">
        <f t="shared" ref="K84:Q84" si="44">+K70+K72-K63</f>
        <v>-9.5590000000000117</v>
      </c>
      <c r="L84" s="1">
        <f t="shared" si="44"/>
        <v>-62.260000000000005</v>
      </c>
      <c r="M84" s="1">
        <f t="shared" si="44"/>
        <v>56.873500000000007</v>
      </c>
      <c r="N84" s="1">
        <f t="shared" si="44"/>
        <v>-96.269499999999937</v>
      </c>
      <c r="O84" s="1">
        <f t="shared" si="44"/>
        <v>95.579999999999984</v>
      </c>
      <c r="P84" s="1">
        <f t="shared" si="44"/>
        <v>-79.798000000000002</v>
      </c>
      <c r="Q84" s="1">
        <f t="shared" si="44"/>
        <v>72.366999999999962</v>
      </c>
    </row>
    <row r="86" spans="2:17" x14ac:dyDescent="0.2">
      <c r="B86" s="1" t="s">
        <v>80</v>
      </c>
      <c r="N86" s="1">
        <f t="shared" ref="N86:P86" si="45">+SUM(K84:N84)</f>
        <v>-111.21499999999995</v>
      </c>
      <c r="O86" s="1">
        <f t="shared" si="45"/>
        <v>-6.0759999999999508</v>
      </c>
      <c r="P86" s="1">
        <f t="shared" si="45"/>
        <v>-23.613999999999947</v>
      </c>
      <c r="Q86" s="1">
        <f>+SUM(N84:Q84)</f>
        <v>-8.1204999999999927</v>
      </c>
    </row>
  </sheetData>
  <hyperlinks>
    <hyperlink ref="A1" location="Main!A1" display="Main!A1" xr:uid="{23A6CEA2-B770-4B0E-BAE5-8E42D382356D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2024-07-10T10:00:55Z</dcterms:created>
  <dcterms:modified xsi:type="dcterms:W3CDTF">2024-07-15T13:25:44Z</dcterms:modified>
</cp:coreProperties>
</file>