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73D103BD-6599-474C-99C4-8723E2B74F33}" xr6:coauthVersionLast="47" xr6:coauthVersionMax="47" xr10:uidLastSave="{00000000-0000-0000-0000-000000000000}"/>
  <bookViews>
    <workbookView xWindow="14535" yWindow="60" windowWidth="14235" windowHeight="15495" xr2:uid="{67010DD9-529A-4DAB-81F2-40DD60991E06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8" i="1"/>
  <c r="L7" i="1"/>
  <c r="L6" i="1"/>
  <c r="L5" i="1"/>
  <c r="L4" i="1"/>
  <c r="AA9" i="2"/>
  <c r="AA8" i="2"/>
  <c r="AA7" i="2"/>
  <c r="AB9" i="2"/>
  <c r="AB8" i="2"/>
  <c r="AB7" i="2"/>
  <c r="AB4" i="2"/>
  <c r="Q76" i="2"/>
  <c r="Q75" i="2"/>
  <c r="Q73" i="2"/>
  <c r="Q72" i="2"/>
  <c r="Q71" i="2"/>
  <c r="Q70" i="2"/>
  <c r="Q69" i="2"/>
  <c r="Q68" i="2"/>
  <c r="Q67" i="2"/>
  <c r="Q66" i="2"/>
  <c r="Q64" i="2"/>
  <c r="Q63" i="2"/>
  <c r="Q62" i="2"/>
  <c r="Q61" i="2"/>
  <c r="Q59" i="2"/>
  <c r="Q58" i="2"/>
  <c r="Q57" i="2"/>
  <c r="Q56" i="2"/>
  <c r="Q55" i="2"/>
  <c r="Q54" i="2"/>
  <c r="Q53" i="2"/>
  <c r="AB75" i="2"/>
  <c r="AB73" i="2"/>
  <c r="AB71" i="2"/>
  <c r="AB66" i="2"/>
  <c r="AB64" i="2"/>
  <c r="AB59" i="2"/>
  <c r="AB54" i="2"/>
  <c r="AB52" i="2"/>
  <c r="P75" i="2"/>
  <c r="P73" i="2"/>
  <c r="P72" i="2"/>
  <c r="P71" i="2"/>
  <c r="P70" i="2"/>
  <c r="P69" i="2"/>
  <c r="P68" i="2"/>
  <c r="P67" i="2"/>
  <c r="P66" i="2"/>
  <c r="P64" i="2"/>
  <c r="P63" i="2"/>
  <c r="P62" i="2"/>
  <c r="P61" i="2"/>
  <c r="P59" i="2"/>
  <c r="P58" i="2"/>
  <c r="P57" i="2"/>
  <c r="P56" i="2"/>
  <c r="P55" i="2"/>
  <c r="P54" i="2"/>
  <c r="P53" i="2"/>
  <c r="Q52" i="2"/>
  <c r="P52" i="2"/>
  <c r="O75" i="2"/>
  <c r="O73" i="2"/>
  <c r="O71" i="2"/>
  <c r="O72" i="2"/>
  <c r="O70" i="2"/>
  <c r="O69" i="2"/>
  <c r="O68" i="2"/>
  <c r="O67" i="2"/>
  <c r="O66" i="2"/>
  <c r="N64" i="2"/>
  <c r="O64" i="2"/>
  <c r="O63" i="2"/>
  <c r="O62" i="2"/>
  <c r="O61" i="2"/>
  <c r="O58" i="2"/>
  <c r="O57" i="2"/>
  <c r="O56" i="2"/>
  <c r="O55" i="2"/>
  <c r="O54" i="2"/>
  <c r="O53" i="2"/>
  <c r="O59" i="2" s="1"/>
  <c r="N75" i="2"/>
  <c r="N71" i="2"/>
  <c r="N66" i="2"/>
  <c r="N59" i="2"/>
  <c r="AB44" i="2"/>
  <c r="AB43" i="2"/>
  <c r="AB40" i="2"/>
  <c r="AB30" i="2" s="1"/>
  <c r="AB37" i="2"/>
  <c r="AB39" i="2" s="1"/>
  <c r="Q44" i="2"/>
  <c r="Q43" i="2"/>
  <c r="Q40" i="2"/>
  <c r="Q30" i="2" s="1"/>
  <c r="Q37" i="2"/>
  <c r="Q39" i="2" s="1"/>
  <c r="AA28" i="2"/>
  <c r="AA13" i="2"/>
  <c r="AB21" i="2"/>
  <c r="AB18" i="2"/>
  <c r="AB14" i="2"/>
  <c r="AB12" i="2"/>
  <c r="AB11" i="2"/>
  <c r="AB28" i="2" s="1"/>
  <c r="J28" i="2"/>
  <c r="J13" i="2"/>
  <c r="J15" i="2" s="1"/>
  <c r="N28" i="2"/>
  <c r="N13" i="2"/>
  <c r="N15" i="2" s="1"/>
  <c r="K28" i="2"/>
  <c r="K13" i="2"/>
  <c r="K15" i="2" s="1"/>
  <c r="O28" i="2"/>
  <c r="O13" i="2"/>
  <c r="O23" i="2" s="1"/>
  <c r="L28" i="2"/>
  <c r="L13" i="2"/>
  <c r="L23" i="2" s="1"/>
  <c r="P28" i="2"/>
  <c r="P13" i="2"/>
  <c r="P23" i="2" s="1"/>
  <c r="M28" i="2"/>
  <c r="M13" i="2"/>
  <c r="M15" i="2" s="1"/>
  <c r="Q28" i="2"/>
  <c r="N73" i="2" l="1"/>
  <c r="AC11" i="2"/>
  <c r="AC15" i="2" s="1"/>
  <c r="AC17" i="2" s="1"/>
  <c r="AC18" i="2" s="1"/>
  <c r="AC19" i="2" s="1"/>
  <c r="AC25" i="2" s="1"/>
  <c r="Q45" i="2"/>
  <c r="Q47" i="2" s="1"/>
  <c r="AB45" i="2"/>
  <c r="AB47" i="2" s="1"/>
  <c r="AA23" i="2"/>
  <c r="AA15" i="2"/>
  <c r="AB13" i="2"/>
  <c r="AB15" i="2" s="1"/>
  <c r="J23" i="2"/>
  <c r="J24" i="2"/>
  <c r="J17" i="2"/>
  <c r="N24" i="2"/>
  <c r="N17" i="2"/>
  <c r="N23" i="2"/>
  <c r="K17" i="2"/>
  <c r="K24" i="2"/>
  <c r="K23" i="2"/>
  <c r="O15" i="2"/>
  <c r="L15" i="2"/>
  <c r="P15" i="2"/>
  <c r="P17" i="2" s="1"/>
  <c r="P26" i="2" s="1"/>
  <c r="M23" i="2"/>
  <c r="M17" i="2"/>
  <c r="M24" i="2"/>
  <c r="Q16" i="2"/>
  <c r="AB16" i="2" s="1"/>
  <c r="Q13" i="2"/>
  <c r="AB23" i="2" l="1"/>
  <c r="Q15" i="2"/>
  <c r="Q24" i="2" s="1"/>
  <c r="Q23" i="2"/>
  <c r="AB17" i="2"/>
  <c r="AA17" i="2"/>
  <c r="AA24" i="2"/>
  <c r="AB24" i="2"/>
  <c r="AB26" i="2"/>
  <c r="AB19" i="2"/>
  <c r="AB49" i="2" s="1"/>
  <c r="AB50" i="2" s="1"/>
  <c r="J26" i="2"/>
  <c r="J19" i="2"/>
  <c r="N26" i="2"/>
  <c r="N19" i="2"/>
  <c r="N52" i="2" s="1"/>
  <c r="K26" i="2"/>
  <c r="K19" i="2"/>
  <c r="O24" i="2"/>
  <c r="O17" i="2"/>
  <c r="L17" i="2"/>
  <c r="L24" i="2"/>
  <c r="P19" i="2"/>
  <c r="P20" i="2" s="1"/>
  <c r="P24" i="2"/>
  <c r="M26" i="2"/>
  <c r="M19" i="2"/>
  <c r="Q17" i="2"/>
  <c r="Q19" i="2" l="1"/>
  <c r="Q26" i="2"/>
  <c r="AA19" i="2"/>
  <c r="AA26" i="2"/>
  <c r="AB25" i="2"/>
  <c r="AB20" i="2"/>
  <c r="J25" i="2"/>
  <c r="J20" i="2"/>
  <c r="N25" i="2"/>
  <c r="N20" i="2"/>
  <c r="K20" i="2"/>
  <c r="K25" i="2"/>
  <c r="O26" i="2"/>
  <c r="O19" i="2"/>
  <c r="O52" i="2" s="1"/>
  <c r="L26" i="2"/>
  <c r="L19" i="2"/>
  <c r="P25" i="2"/>
  <c r="M25" i="2"/>
  <c r="M20" i="2"/>
  <c r="Q49" i="2" l="1"/>
  <c r="Q50" i="2" s="1"/>
  <c r="Q20" i="2"/>
  <c r="Q25" i="2"/>
  <c r="AA20" i="2"/>
  <c r="AA25" i="2"/>
  <c r="O25" i="2"/>
  <c r="O20" i="2"/>
  <c r="L20" i="2"/>
  <c r="L25" i="2"/>
</calcChain>
</file>

<file path=xl/sharedStrings.xml><?xml version="1.0" encoding="utf-8"?>
<sst xmlns="http://schemas.openxmlformats.org/spreadsheetml/2006/main" count="111" uniqueCount="102">
  <si>
    <t>Revenue</t>
  </si>
  <si>
    <t>COGS</t>
  </si>
  <si>
    <t>Gross profit</t>
  </si>
  <si>
    <t>SG&amp;A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</si>
  <si>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</si>
  <si>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</si>
  <si>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</si>
  <si>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</si>
  <si>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</si>
  <si>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</si>
  <si>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</si>
  <si>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</si>
  <si>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</si>
  <si>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</si>
  <si>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</si>
  <si>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</si>
  <si>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Q424</t>
  </si>
  <si>
    <t>Price</t>
  </si>
  <si>
    <t>MC</t>
  </si>
  <si>
    <t>Cash</t>
  </si>
  <si>
    <t>Debt</t>
  </si>
  <si>
    <t>EV</t>
  </si>
  <si>
    <t>New stores</t>
  </si>
  <si>
    <t>Stores</t>
  </si>
  <si>
    <t>CapEx 2.5% of total sales</t>
  </si>
  <si>
    <t>Employees</t>
  </si>
  <si>
    <t>FY25</t>
  </si>
  <si>
    <t>FY24</t>
  </si>
  <si>
    <t>FY23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</si>
  <si>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</si>
  <si>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</si>
  <si>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</si>
  <si>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</si>
  <si>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</si>
  <si>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</si>
  <si>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</si>
  <si>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</si>
  <si>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</si>
  <si>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</si>
  <si>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FY15</t>
  </si>
  <si>
    <t>FY16</t>
  </si>
  <si>
    <t>FY17</t>
  </si>
  <si>
    <t>FY18</t>
  </si>
  <si>
    <t>FY19</t>
  </si>
  <si>
    <t>FY20</t>
  </si>
  <si>
    <t>FY21</t>
  </si>
  <si>
    <t>FY22</t>
  </si>
  <si>
    <t>Customer transaction</t>
  </si>
  <si>
    <t>Avg. ticket</t>
  </si>
  <si>
    <t>Avg. sales per square</t>
  </si>
  <si>
    <t>FQ424</t>
  </si>
  <si>
    <t>FQ324</t>
  </si>
  <si>
    <t>FQ224</t>
  </si>
  <si>
    <t>FQ124</t>
  </si>
  <si>
    <t>FQ423</t>
  </si>
  <si>
    <t>FQ323</t>
  </si>
  <si>
    <t>FQ223</t>
  </si>
  <si>
    <t>FQ123</t>
  </si>
  <si>
    <t>FQ422</t>
  </si>
  <si>
    <t>FQ322</t>
  </si>
  <si>
    <t>FQ222</t>
  </si>
  <si>
    <t>FQ122</t>
  </si>
  <si>
    <t>FQ421</t>
  </si>
  <si>
    <t>FQ321</t>
  </si>
  <si>
    <t>FQ221</t>
  </si>
  <si>
    <t>FQ121</t>
  </si>
  <si>
    <t>Net cash</t>
  </si>
  <si>
    <t>AR</t>
  </si>
  <si>
    <t>Inventories</t>
  </si>
  <si>
    <t>OCA</t>
  </si>
  <si>
    <t>PP&amp;E</t>
  </si>
  <si>
    <t>ROU</t>
  </si>
  <si>
    <t>Goodwill</t>
  </si>
  <si>
    <t>Other</t>
  </si>
  <si>
    <t>Asset</t>
  </si>
  <si>
    <t>AP</t>
  </si>
  <si>
    <t>Accrued salaries</t>
  </si>
  <si>
    <t>Lease</t>
  </si>
  <si>
    <t>Liabilties</t>
  </si>
  <si>
    <t>S/E</t>
  </si>
  <si>
    <t>L+S/E</t>
  </si>
  <si>
    <t>NI TTM</t>
  </si>
  <si>
    <t>ROTA</t>
  </si>
  <si>
    <t>ONCA</t>
  </si>
  <si>
    <t>Model NI</t>
  </si>
  <si>
    <t>Reported NI</t>
  </si>
  <si>
    <t>D&amp;A</t>
  </si>
  <si>
    <t>SBC</t>
  </si>
  <si>
    <t>WC</t>
  </si>
  <si>
    <t>DT</t>
  </si>
  <si>
    <t>CFFO</t>
  </si>
  <si>
    <t>CapEx</t>
  </si>
  <si>
    <t>CFFI</t>
  </si>
  <si>
    <t>Buybacks</t>
  </si>
  <si>
    <t>Issuance</t>
  </si>
  <si>
    <t>Dividends</t>
  </si>
  <si>
    <t>CFFF</t>
  </si>
  <si>
    <t>FX</t>
  </si>
  <si>
    <t>CIC</t>
  </si>
  <si>
    <t>FCF</t>
  </si>
  <si>
    <t>TTM FCF</t>
  </si>
  <si>
    <t>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</si>
</sst>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7" formatCode="d/mm/yy;@"/>
    <numFmt numFmtId="168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4" fontId="0" fillId="0" borderId="0" xfId="0" applyNumberFormat="1"/>
    <xf numFmtId="9" fontId="1" fillId="0" borderId="0" xfId="0" applyNumberFormat="1" applyFont="1"/>
    <xf numFmtId="3" fontId="0" fillId="0" borderId="0" xfId="0" applyNumberFormat="1" applyAlignment="1"/>
    <xf numFmtId="3" fontId="1" fillId="0" borderId="0" xfId="0" applyNumberFormat="1" applyFont="1"/>
    <xf numFmtId="0" fontId="0" fillId="0" borderId="0" xfId="0" applyNumberFormat="1" applyAlignment="1">
      <alignment horizontal="right"/>
    </xf>
    <xf numFmtId="167" fontId="0" fillId="0" borderId="0" xfId="0" applyNumberFormat="1"/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3" fontId="0" fillId="0" borderId="0" xfId="0" applyNumberFormat="1" applyFont="1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0</xdr:row>
      <xdr:rowOff>0</xdr:rowOff>
    </xdr:from>
    <xdr:to>
      <xdr:col>17</xdr:col>
      <xdr:colOff>28575</xdr:colOff>
      <xdr:row>87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BCDDF1-0922-718C-227A-D7BD7CA8191D}"/>
            </a:ext>
          </a:extLst>
        </xdr:cNvPr>
        <xdr:cNvCxnSpPr/>
      </xdr:nvCxnSpPr>
      <xdr:spPr>
        <a:xfrm>
          <a:off x="11058525" y="0"/>
          <a:ext cx="0" cy="1351597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600075</xdr:colOff>
      <xdr:row>0</xdr:row>
      <xdr:rowOff>35379</xdr:rowOff>
    </xdr:from>
    <xdr:to>
      <xdr:col>27</xdr:col>
      <xdr:colOff>600075</xdr:colOff>
      <xdr:row>88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7C00BA-5347-40BF-9AA0-08D363E9562D}"/>
            </a:ext>
          </a:extLst>
        </xdr:cNvPr>
        <xdr:cNvCxnSpPr/>
      </xdr:nvCxnSpPr>
      <xdr:spPr>
        <a:xfrm>
          <a:off x="17726025" y="35379"/>
          <a:ext cx="0" cy="13585371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E64-9816-4E26-A968-13CD97AEF277}">
  <dimension ref="K3:M10"/>
  <sheetViews>
    <sheetView tabSelected="1" workbookViewId="0">
      <selection activeCell="H16" sqref="H16"/>
    </sheetView>
  </sheetViews>
  <sheetFormatPr defaultRowHeight="12.75" x14ac:dyDescent="0.2"/>
  <sheetData>
    <row r="3" spans="11:13" x14ac:dyDescent="0.2">
      <c r="K3" t="s">
        <v>17</v>
      </c>
      <c r="L3" s="6">
        <v>356</v>
      </c>
    </row>
    <row r="4" spans="11:13" x14ac:dyDescent="0.2">
      <c r="K4" t="s">
        <v>10</v>
      </c>
      <c r="L4" s="1">
        <f>+Model!Q21</f>
        <v>994</v>
      </c>
      <c r="M4" s="17" t="s">
        <v>16</v>
      </c>
    </row>
    <row r="5" spans="11:13" x14ac:dyDescent="0.2">
      <c r="K5" t="s">
        <v>18</v>
      </c>
      <c r="L5" s="1">
        <f>+L3*L4</f>
        <v>353864</v>
      </c>
      <c r="M5" s="17"/>
    </row>
    <row r="6" spans="11:13" x14ac:dyDescent="0.2">
      <c r="K6" t="s">
        <v>19</v>
      </c>
      <c r="L6" s="1">
        <f>+Model!Q31</f>
        <v>1659</v>
      </c>
      <c r="M6" s="17" t="s">
        <v>16</v>
      </c>
    </row>
    <row r="7" spans="11:13" x14ac:dyDescent="0.2">
      <c r="K7" t="s">
        <v>20</v>
      </c>
      <c r="L7" s="1">
        <f>+Model!Q40</f>
        <v>53383</v>
      </c>
      <c r="M7" s="17" t="s">
        <v>16</v>
      </c>
    </row>
    <row r="8" spans="11:13" x14ac:dyDescent="0.2">
      <c r="K8" t="s">
        <v>21</v>
      </c>
      <c r="L8" s="1">
        <f>+L5-L6+L7</f>
        <v>405588</v>
      </c>
    </row>
    <row r="9" spans="11:13" x14ac:dyDescent="0.2">
      <c r="L9" s="1">
        <v>17840</v>
      </c>
    </row>
    <row r="10" spans="11:13" x14ac:dyDescent="0.2">
      <c r="L10" s="18">
        <f>+L8/L9</f>
        <v>22.734753363228698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87DE-8471-4760-A850-675098C41AA4}">
  <dimension ref="A1:AM78"/>
  <sheetViews>
    <sheetView zoomScaleNormal="100" workbookViewId="0">
      <pane xSplit="1" ySplit="2" topLeftCell="K9" activePane="bottomRight" state="frozen"/>
      <selection pane="topRight" activeCell="B1" sqref="B1"/>
      <selection pane="bottomLeft" activeCell="A3" sqref="A3"/>
      <selection pane="bottomRight" activeCell="N34" sqref="N34"/>
    </sheetView>
  </sheetViews>
  <sheetFormatPr defaultRowHeight="12.75" x14ac:dyDescent="0.2"/>
  <cols>
    <col min="1" max="1" width="19.140625" style="1" bestFit="1" customWidth="1"/>
    <col min="2" max="16384" width="9.140625" style="1"/>
  </cols>
  <sheetData>
    <row r="1" spans="1:39" s="11" customFormat="1" x14ac:dyDescent="0.2">
      <c r="J1" s="11">
        <v>45046</v>
      </c>
      <c r="K1" s="11">
        <v>45137</v>
      </c>
      <c r="L1" s="11">
        <v>45228</v>
      </c>
      <c r="M1" s="11">
        <v>45319</v>
      </c>
      <c r="N1" s="11">
        <v>45410</v>
      </c>
      <c r="O1" s="11">
        <v>45501</v>
      </c>
      <c r="P1" s="11">
        <v>45592</v>
      </c>
      <c r="Q1" s="11">
        <v>45690</v>
      </c>
      <c r="AA1" s="11">
        <v>45319</v>
      </c>
      <c r="AB1" s="11">
        <v>45690</v>
      </c>
    </row>
    <row r="2" spans="1:39" x14ac:dyDescent="0.2">
      <c r="A2" s="3"/>
      <c r="B2" s="3" t="s">
        <v>65</v>
      </c>
      <c r="C2" s="3" t="s">
        <v>64</v>
      </c>
      <c r="D2" s="3" t="s">
        <v>63</v>
      </c>
      <c r="E2" s="3" t="s">
        <v>62</v>
      </c>
      <c r="F2" s="3" t="s">
        <v>61</v>
      </c>
      <c r="G2" s="3" t="s">
        <v>60</v>
      </c>
      <c r="H2" s="3" t="s">
        <v>59</v>
      </c>
      <c r="I2" s="3" t="s">
        <v>58</v>
      </c>
      <c r="J2" s="3" t="s">
        <v>57</v>
      </c>
      <c r="K2" s="3" t="s">
        <v>56</v>
      </c>
      <c r="L2" s="3" t="s">
        <v>55</v>
      </c>
      <c r="M2" s="3" t="s">
        <v>54</v>
      </c>
      <c r="N2" s="3" t="s">
        <v>53</v>
      </c>
      <c r="O2" s="3" t="s">
        <v>52</v>
      </c>
      <c r="P2" s="3" t="s">
        <v>51</v>
      </c>
      <c r="Q2" s="3" t="s">
        <v>50</v>
      </c>
      <c r="S2" s="10" t="s">
        <v>39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  <c r="Y2" s="10" t="s">
        <v>45</v>
      </c>
      <c r="Z2" s="10" t="s">
        <v>46</v>
      </c>
      <c r="AA2" s="10" t="s">
        <v>28</v>
      </c>
      <c r="AB2" s="10" t="s">
        <v>27</v>
      </c>
      <c r="AC2" s="10" t="s">
        <v>26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</row>
    <row r="3" spans="1:39" x14ac:dyDescent="0.2">
      <c r="A3" s="8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2337</v>
      </c>
      <c r="O3" s="3">
        <v>2340</v>
      </c>
      <c r="P3" s="3">
        <v>2345</v>
      </c>
      <c r="Q3" s="3">
        <v>2347</v>
      </c>
      <c r="AB3" s="1">
        <v>2347</v>
      </c>
    </row>
    <row r="4" spans="1:39" x14ac:dyDescent="0.2">
      <c r="A4" s="8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12</v>
      </c>
      <c r="O4" s="3">
        <v>12</v>
      </c>
      <c r="P4" s="3">
        <v>12</v>
      </c>
      <c r="Q4" s="3">
        <v>13</v>
      </c>
      <c r="AB4" s="1">
        <f>+SUM(N4:Q4)</f>
        <v>49</v>
      </c>
    </row>
    <row r="5" spans="1:39" x14ac:dyDescent="0.2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9" x14ac:dyDescent="0.2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39" s="5" customFormat="1" x14ac:dyDescent="0.2">
      <c r="A7" s="14" t="s">
        <v>47</v>
      </c>
      <c r="B7" s="15"/>
      <c r="C7" s="15"/>
      <c r="D7" s="15"/>
      <c r="E7" s="15"/>
      <c r="F7" s="15"/>
      <c r="G7" s="15"/>
      <c r="H7" s="15"/>
      <c r="I7" s="15"/>
      <c r="J7" s="15">
        <v>390.9</v>
      </c>
      <c r="K7" s="15">
        <v>459.1</v>
      </c>
      <c r="L7" s="15">
        <v>399.8</v>
      </c>
      <c r="M7" s="15">
        <v>372</v>
      </c>
      <c r="N7" s="15">
        <v>386.8</v>
      </c>
      <c r="O7" s="15">
        <v>451</v>
      </c>
      <c r="P7" s="15">
        <v>399</v>
      </c>
      <c r="Q7" s="15">
        <v>400.4</v>
      </c>
      <c r="AA7" s="5">
        <f>+SUM(J7:M7)</f>
        <v>1621.8</v>
      </c>
      <c r="AB7" s="5">
        <f>+SUM(N7:Q7)</f>
        <v>1637.1999999999998</v>
      </c>
    </row>
    <row r="8" spans="1:39" s="6" customFormat="1" x14ac:dyDescent="0.2">
      <c r="A8" s="12" t="s">
        <v>48</v>
      </c>
      <c r="B8" s="13"/>
      <c r="C8" s="13"/>
      <c r="D8" s="13"/>
      <c r="E8" s="13"/>
      <c r="F8" s="13"/>
      <c r="G8" s="13"/>
      <c r="H8" s="13"/>
      <c r="I8" s="13"/>
      <c r="J8" s="13">
        <v>91.92</v>
      </c>
      <c r="K8" s="13">
        <v>90.07</v>
      </c>
      <c r="L8" s="13">
        <v>89.36</v>
      </c>
      <c r="M8" s="13">
        <v>88.87</v>
      </c>
      <c r="N8" s="13">
        <v>90.68</v>
      </c>
      <c r="O8" s="13">
        <v>88.9</v>
      </c>
      <c r="P8" s="13">
        <v>88.65</v>
      </c>
      <c r="Q8" s="13">
        <v>89.11</v>
      </c>
      <c r="AA8" s="6">
        <f>+AVERAGE(J8:M8)</f>
        <v>90.055000000000007</v>
      </c>
      <c r="AB8" s="6">
        <f>+AVERAGE(N8:Q8)</f>
        <v>89.335000000000008</v>
      </c>
    </row>
    <row r="9" spans="1:39" s="6" customFormat="1" x14ac:dyDescent="0.2">
      <c r="A9" s="12" t="s">
        <v>49</v>
      </c>
      <c r="B9" s="13"/>
      <c r="C9" s="13"/>
      <c r="D9" s="13"/>
      <c r="E9" s="13"/>
      <c r="F9" s="13"/>
      <c r="G9" s="13"/>
      <c r="H9" s="13"/>
      <c r="I9" s="13"/>
      <c r="J9" s="13">
        <v>592.94000000000005</v>
      </c>
      <c r="K9" s="13">
        <v>684.65</v>
      </c>
      <c r="L9" s="13">
        <v>595.71</v>
      </c>
      <c r="M9" s="13">
        <v>550.5</v>
      </c>
      <c r="N9" s="13">
        <v>572.69000000000005</v>
      </c>
      <c r="O9" s="13">
        <v>660.17</v>
      </c>
      <c r="P9" s="13">
        <v>582.97</v>
      </c>
      <c r="Q9" s="13">
        <v>556.9</v>
      </c>
      <c r="AA9" s="6">
        <f>+AVERAGE(J9:M9)</f>
        <v>605.95000000000005</v>
      </c>
      <c r="AB9" s="6">
        <f>+AVERAGE(N9:Q9)</f>
        <v>593.1825</v>
      </c>
    </row>
    <row r="10" spans="1:3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s="9" customFormat="1" x14ac:dyDescent="0.2">
      <c r="A11" s="9" t="s">
        <v>0</v>
      </c>
      <c r="J11" s="9">
        <v>37257</v>
      </c>
      <c r="K11" s="9">
        <v>42916</v>
      </c>
      <c r="L11" s="9">
        <v>37710</v>
      </c>
      <c r="M11" s="9">
        <v>34786</v>
      </c>
      <c r="N11" s="9">
        <v>36418</v>
      </c>
      <c r="O11" s="9">
        <v>43175</v>
      </c>
      <c r="P11" s="9">
        <v>40217</v>
      </c>
      <c r="Q11" s="9">
        <v>39704</v>
      </c>
      <c r="AA11" s="9">
        <v>152669</v>
      </c>
      <c r="AB11" s="9">
        <f>+SUM(N11:Q11)</f>
        <v>159514</v>
      </c>
      <c r="AC11" s="9">
        <f>+AB11*AC28+AB11</f>
        <v>163980.39199999999</v>
      </c>
    </row>
    <row r="12" spans="1:39" x14ac:dyDescent="0.2">
      <c r="A12" s="1" t="s">
        <v>1</v>
      </c>
      <c r="J12" s="1">
        <v>24700</v>
      </c>
      <c r="K12" s="1">
        <v>28759</v>
      </c>
      <c r="L12" s="1">
        <v>24972</v>
      </c>
      <c r="M12" s="1">
        <v>23278</v>
      </c>
      <c r="N12" s="1">
        <v>23985</v>
      </c>
      <c r="O12" s="1">
        <v>28759</v>
      </c>
      <c r="P12" s="1">
        <v>26792</v>
      </c>
      <c r="Q12" s="1">
        <v>26670</v>
      </c>
      <c r="AA12" s="16">
        <v>101709</v>
      </c>
      <c r="AB12" s="16">
        <f>+SUM(N12:Q12)</f>
        <v>106206</v>
      </c>
    </row>
    <row r="13" spans="1:39" s="9" customFormat="1" x14ac:dyDescent="0.2">
      <c r="A13" s="9" t="s">
        <v>2</v>
      </c>
      <c r="J13" s="9">
        <f>+J11-J12</f>
        <v>12557</v>
      </c>
      <c r="K13" s="9">
        <f>+K11-K12</f>
        <v>14157</v>
      </c>
      <c r="L13" s="9">
        <f>+L11-L12</f>
        <v>12738</v>
      </c>
      <c r="M13" s="9">
        <f>+M11-M12</f>
        <v>11508</v>
      </c>
      <c r="N13" s="9">
        <f>+N11-N12</f>
        <v>12433</v>
      </c>
      <c r="O13" s="9">
        <f>+O11-O12</f>
        <v>14416</v>
      </c>
      <c r="P13" s="9">
        <f>+P11-P12</f>
        <v>13425</v>
      </c>
      <c r="Q13" s="9">
        <f>+Q11-Q12</f>
        <v>13034</v>
      </c>
      <c r="AA13" s="9">
        <f>+AA11-AA12</f>
        <v>50960</v>
      </c>
      <c r="AB13" s="9">
        <f>+AB11-AB12</f>
        <v>53308</v>
      </c>
    </row>
    <row r="14" spans="1:39" x14ac:dyDescent="0.2">
      <c r="A14" s="1" t="s">
        <v>3</v>
      </c>
      <c r="J14" s="1">
        <v>6355</v>
      </c>
      <c r="K14" s="1">
        <v>6915</v>
      </c>
      <c r="L14" s="1">
        <v>6649</v>
      </c>
      <c r="M14" s="1">
        <v>6679</v>
      </c>
      <c r="N14" s="1">
        <v>6667</v>
      </c>
      <c r="O14" s="1">
        <v>7144</v>
      </c>
      <c r="P14" s="1">
        <v>7212</v>
      </c>
      <c r="Q14" s="1">
        <v>7725</v>
      </c>
      <c r="AA14" s="16">
        <v>26597</v>
      </c>
      <c r="AB14" s="16">
        <f>+SUM(N14:Q14)</f>
        <v>28748</v>
      </c>
    </row>
    <row r="15" spans="1:39" s="9" customFormat="1" x14ac:dyDescent="0.2">
      <c r="A15" s="9" t="s">
        <v>4</v>
      </c>
      <c r="J15" s="9">
        <f>+J13-J14</f>
        <v>6202</v>
      </c>
      <c r="K15" s="9">
        <f>+K13-K14</f>
        <v>7242</v>
      </c>
      <c r="L15" s="9">
        <f>+L13-L14</f>
        <v>6089</v>
      </c>
      <c r="M15" s="9">
        <f>+M13-M14</f>
        <v>4829</v>
      </c>
      <c r="N15" s="9">
        <f>+N13-N14</f>
        <v>5766</v>
      </c>
      <c r="O15" s="9">
        <f>+O13-O14</f>
        <v>7272</v>
      </c>
      <c r="P15" s="9">
        <f>+P13-P14</f>
        <v>6213</v>
      </c>
      <c r="Q15" s="9">
        <f>+Q13-Q14</f>
        <v>5309</v>
      </c>
      <c r="AA15" s="9">
        <f>+AA13-AA14</f>
        <v>24363</v>
      </c>
      <c r="AB15" s="9">
        <f>+AB13-AB14</f>
        <v>24560</v>
      </c>
      <c r="AC15" s="9">
        <f>+AC11*0.13</f>
        <v>21317.450959999998</v>
      </c>
    </row>
    <row r="16" spans="1:39" x14ac:dyDescent="0.2">
      <c r="A16" s="1" t="s">
        <v>5</v>
      </c>
      <c r="J16" s="1">
        <v>441</v>
      </c>
      <c r="K16" s="1">
        <v>428</v>
      </c>
      <c r="L16" s="1">
        <v>438</v>
      </c>
      <c r="M16" s="1">
        <v>458</v>
      </c>
      <c r="N16" s="1">
        <v>428</v>
      </c>
      <c r="O16" s="1">
        <v>489</v>
      </c>
      <c r="P16" s="1">
        <v>595</v>
      </c>
      <c r="Q16" s="1">
        <f>-30+638</f>
        <v>608</v>
      </c>
      <c r="AA16" s="16">
        <v>1765</v>
      </c>
      <c r="AB16" s="16">
        <f>+SUM(N16:Q16)</f>
        <v>2120</v>
      </c>
      <c r="AC16" s="1">
        <v>2200</v>
      </c>
    </row>
    <row r="17" spans="1:29" x14ac:dyDescent="0.2">
      <c r="A17" s="1" t="s">
        <v>6</v>
      </c>
      <c r="J17" s="1">
        <f>+J15-J16</f>
        <v>5761</v>
      </c>
      <c r="K17" s="1">
        <f>+K15-K16</f>
        <v>6814</v>
      </c>
      <c r="L17" s="1">
        <f>+L15-L16</f>
        <v>5651</v>
      </c>
      <c r="M17" s="1">
        <f>+M15-M16</f>
        <v>4371</v>
      </c>
      <c r="N17" s="1">
        <f>+N15-N16</f>
        <v>5338</v>
      </c>
      <c r="O17" s="1">
        <f>+O15-O16</f>
        <v>6783</v>
      </c>
      <c r="P17" s="1">
        <f>+P15-P16</f>
        <v>5618</v>
      </c>
      <c r="Q17" s="1">
        <f>+Q15-Q16</f>
        <v>4701</v>
      </c>
      <c r="AA17" s="1">
        <f>+AA15-AA16</f>
        <v>22598</v>
      </c>
      <c r="AB17" s="1">
        <f>+AB15-AB16</f>
        <v>22440</v>
      </c>
      <c r="AC17" s="1">
        <f>+AC15-AC16</f>
        <v>19117.450959999998</v>
      </c>
    </row>
    <row r="18" spans="1:29" x14ac:dyDescent="0.2">
      <c r="A18" s="1" t="s">
        <v>7</v>
      </c>
      <c r="J18" s="1">
        <v>1237</v>
      </c>
      <c r="K18" s="1">
        <v>1502</v>
      </c>
      <c r="L18" s="1">
        <v>1158</v>
      </c>
      <c r="M18" s="1">
        <v>884</v>
      </c>
      <c r="N18" s="1">
        <v>1051</v>
      </c>
      <c r="O18" s="1">
        <v>1484</v>
      </c>
      <c r="P18" s="1">
        <v>1175</v>
      </c>
      <c r="Q18" s="1">
        <v>890</v>
      </c>
      <c r="AA18" s="16">
        <v>4781</v>
      </c>
      <c r="AB18" s="16">
        <f>+SUM(N18:Q18)</f>
        <v>4600</v>
      </c>
      <c r="AC18" s="1">
        <f>+AC17*0.25</f>
        <v>4779.3627399999996</v>
      </c>
    </row>
    <row r="19" spans="1:29" s="9" customFormat="1" x14ac:dyDescent="0.2">
      <c r="A19" s="9" t="s">
        <v>8</v>
      </c>
      <c r="J19" s="9">
        <f>+J17-J18</f>
        <v>4524</v>
      </c>
      <c r="K19" s="9">
        <f>+K17-K18</f>
        <v>5312</v>
      </c>
      <c r="L19" s="9">
        <f>+L17-L18</f>
        <v>4493</v>
      </c>
      <c r="M19" s="9">
        <f>+M17-M18</f>
        <v>3487</v>
      </c>
      <c r="N19" s="9">
        <f>+N17-N18</f>
        <v>4287</v>
      </c>
      <c r="O19" s="9">
        <f>+O17-O18</f>
        <v>5299</v>
      </c>
      <c r="P19" s="9">
        <f>+P17-P18</f>
        <v>4443</v>
      </c>
      <c r="Q19" s="9">
        <f>+Q17-Q18</f>
        <v>3811</v>
      </c>
      <c r="AA19" s="9">
        <f>+AA17-AA18</f>
        <v>17817</v>
      </c>
      <c r="AB19" s="9">
        <f>+AB17-AB18</f>
        <v>17840</v>
      </c>
      <c r="AC19" s="9">
        <f>+AC17-AC18</f>
        <v>14338.088219999998</v>
      </c>
    </row>
    <row r="20" spans="1:29" s="6" customFormat="1" x14ac:dyDescent="0.2">
      <c r="A20" s="6" t="s">
        <v>9</v>
      </c>
      <c r="J20" s="6">
        <f>+J19/J21</f>
        <v>4.4659427443237911</v>
      </c>
      <c r="K20" s="6">
        <f>+K19/K21</f>
        <v>5.2961116650049851</v>
      </c>
      <c r="L20" s="6">
        <f>+L19/L21</f>
        <v>4.4974974974974975</v>
      </c>
      <c r="M20" s="6">
        <f>+M19/M21</f>
        <v>3.5080482897384306</v>
      </c>
      <c r="N20" s="6">
        <f>+N19/N21</f>
        <v>4.321572580645161</v>
      </c>
      <c r="O20" s="6">
        <f>+O19/O21</f>
        <v>5.341733870967742</v>
      </c>
      <c r="P20" s="6">
        <f>+P19/P21</f>
        <v>4.4743202416918431</v>
      </c>
      <c r="Q20" s="6">
        <f>+Q19/Q21</f>
        <v>3.8340040241448694</v>
      </c>
      <c r="AA20" s="6">
        <f>+AA19/AA21</f>
        <v>17.781437125748504</v>
      </c>
      <c r="AB20" s="6">
        <f>+AB19/AB21</f>
        <v>17.970284563082348</v>
      </c>
    </row>
    <row r="21" spans="1:29" x14ac:dyDescent="0.2">
      <c r="A21" s="1" t="s">
        <v>10</v>
      </c>
      <c r="J21" s="1">
        <v>1013</v>
      </c>
      <c r="K21" s="1">
        <v>1003</v>
      </c>
      <c r="L21" s="1">
        <v>999</v>
      </c>
      <c r="M21" s="1">
        <v>994</v>
      </c>
      <c r="N21" s="1">
        <v>992</v>
      </c>
      <c r="O21" s="1">
        <v>992</v>
      </c>
      <c r="P21" s="1">
        <v>993</v>
      </c>
      <c r="Q21" s="1">
        <v>994</v>
      </c>
      <c r="AA21" s="1">
        <v>1002</v>
      </c>
      <c r="AB21" s="1">
        <f>+AVERAGE(N21:Q21)</f>
        <v>992.75</v>
      </c>
    </row>
    <row r="23" spans="1:29" s="4" customFormat="1" x14ac:dyDescent="0.2">
      <c r="A23" s="4" t="s">
        <v>11</v>
      </c>
      <c r="J23" s="4">
        <f>+J13/J11</f>
        <v>0.33703733526585611</v>
      </c>
      <c r="K23" s="4">
        <f>+K13/K11</f>
        <v>0.32987696896262464</v>
      </c>
      <c r="L23" s="4">
        <f>+L13/L11</f>
        <v>0.33778838504375497</v>
      </c>
      <c r="M23" s="4">
        <f>+M13/M11</f>
        <v>0.33082274478238372</v>
      </c>
      <c r="N23" s="4">
        <f>+N13/N11</f>
        <v>0.34139711131857875</v>
      </c>
      <c r="O23" s="4">
        <f>+O13/O11</f>
        <v>0.33389693109438334</v>
      </c>
      <c r="P23" s="4">
        <f>+P13/P11</f>
        <v>0.33381405873138226</v>
      </c>
      <c r="Q23" s="4">
        <f>+Q13/Q11</f>
        <v>0.32827926657263751</v>
      </c>
      <c r="AA23" s="4">
        <f>+AA13/AA11</f>
        <v>0.33379402498215094</v>
      </c>
      <c r="AB23" s="4">
        <f>+AB13/AB11</f>
        <v>0.33419010243614983</v>
      </c>
      <c r="AC23" s="4">
        <v>0.33400000000000002</v>
      </c>
    </row>
    <row r="24" spans="1:29" s="4" customFormat="1" x14ac:dyDescent="0.2">
      <c r="A24" s="4" t="s">
        <v>12</v>
      </c>
      <c r="J24" s="4">
        <f>+J15/J11</f>
        <v>0.16646536221381217</v>
      </c>
      <c r="K24" s="4">
        <f>+K15/K11</f>
        <v>0.16874825240003727</v>
      </c>
      <c r="L24" s="4">
        <f>+L15/L11</f>
        <v>0.16146910633784142</v>
      </c>
      <c r="M24" s="4">
        <f>+M15/M11</f>
        <v>0.13882021502903466</v>
      </c>
      <c r="N24" s="4">
        <f>+N15/N11</f>
        <v>0.15832829919270691</v>
      </c>
      <c r="O24" s="4">
        <f>+O15/O11</f>
        <v>0.16843080486392589</v>
      </c>
      <c r="P24" s="4">
        <f>+P15/P11</f>
        <v>0.15448690852127209</v>
      </c>
      <c r="Q24" s="4">
        <f>+Q15/Q11</f>
        <v>0.13371448720531937</v>
      </c>
      <c r="AA24" s="4">
        <f>+AA15/AA11</f>
        <v>0.15958053042857423</v>
      </c>
      <c r="AB24" s="4">
        <f>+AB15/AB11</f>
        <v>0.1539676768183357</v>
      </c>
      <c r="AC24" s="4">
        <v>0.13</v>
      </c>
    </row>
    <row r="25" spans="1:29" s="4" customFormat="1" x14ac:dyDescent="0.2">
      <c r="A25" s="4" t="s">
        <v>13</v>
      </c>
      <c r="J25" s="4">
        <f>+J19/J11</f>
        <v>0.12142684596183267</v>
      </c>
      <c r="K25" s="4">
        <f>+K19/K11</f>
        <v>0.1237766800260975</v>
      </c>
      <c r="L25" s="4">
        <f>+L19/L11</f>
        <v>0.11914611508883585</v>
      </c>
      <c r="M25" s="4">
        <f>+M19/M11</f>
        <v>0.10024147645604553</v>
      </c>
      <c r="N25" s="4">
        <f>+N19/N11</f>
        <v>0.11771651381185128</v>
      </c>
      <c r="O25" s="4">
        <f>+O19/O11</f>
        <v>0.12273306311522872</v>
      </c>
      <c r="P25" s="4">
        <f>+P19/P11</f>
        <v>0.11047566949300047</v>
      </c>
      <c r="Q25" s="4">
        <f>+Q19/Q11</f>
        <v>9.5985291154543628E-2</v>
      </c>
      <c r="AA25" s="4">
        <f>+AA19/AA11</f>
        <v>0.11670345649738978</v>
      </c>
      <c r="AB25" s="4">
        <f>+AB19/AB11</f>
        <v>0.11183971312862821</v>
      </c>
      <c r="AC25" s="4">
        <f>+AC19/AC11</f>
        <v>8.7437821346347297E-2</v>
      </c>
    </row>
    <row r="26" spans="1:29" s="4" customFormat="1" x14ac:dyDescent="0.2">
      <c r="A26" s="4" t="s">
        <v>14</v>
      </c>
      <c r="J26" s="4">
        <f>+J18/J17</f>
        <v>0.214719666724527</v>
      </c>
      <c r="K26" s="4">
        <f>+K18/K17</f>
        <v>0.22042852949809216</v>
      </c>
      <c r="L26" s="4">
        <f>+L18/L17</f>
        <v>0.20491948327729606</v>
      </c>
      <c r="M26" s="4">
        <f>+M18/M17</f>
        <v>0.20224204987417066</v>
      </c>
      <c r="N26" s="4">
        <f>+N18/N17</f>
        <v>0.1968902210565755</v>
      </c>
      <c r="O26" s="4">
        <f>+O18/O17</f>
        <v>0.21878224974200206</v>
      </c>
      <c r="P26" s="4">
        <f>+P18/P17</f>
        <v>0.20914916340334638</v>
      </c>
      <c r="Q26" s="4">
        <f>+Q18/Q17</f>
        <v>0.1893214209742608</v>
      </c>
      <c r="AA26" s="4">
        <f>+AA18/AA17</f>
        <v>0.21156739534472077</v>
      </c>
      <c r="AB26" s="4">
        <f>+AB18/AB17</f>
        <v>0.20499108734402852</v>
      </c>
      <c r="AC26" s="4">
        <v>0.245</v>
      </c>
    </row>
    <row r="27" spans="1:29" s="4" customFormat="1" x14ac:dyDescent="0.2"/>
    <row r="28" spans="1:29" s="7" customFormat="1" x14ac:dyDescent="0.2">
      <c r="A28" s="7" t="s">
        <v>15</v>
      </c>
      <c r="J28" s="7" t="e">
        <f>+J11/F11-1</f>
        <v>#DIV/0!</v>
      </c>
      <c r="K28" s="7" t="e">
        <f>+K11/G11-1</f>
        <v>#DIV/0!</v>
      </c>
      <c r="L28" s="7" t="e">
        <f>+L11/H11-1</f>
        <v>#DIV/0!</v>
      </c>
      <c r="M28" s="7" t="e">
        <f>+M11/I11-1</f>
        <v>#DIV/0!</v>
      </c>
      <c r="N28" s="7">
        <f>+N11/J11-1</f>
        <v>-2.2519258125989761E-2</v>
      </c>
      <c r="O28" s="7">
        <f>+O11/K11-1</f>
        <v>6.0350452045856429E-3</v>
      </c>
      <c r="P28" s="7">
        <f>+P11/L11-1</f>
        <v>6.6481039512065854E-2</v>
      </c>
      <c r="Q28" s="7">
        <f>+Q11/M11-1</f>
        <v>0.14137871557523152</v>
      </c>
      <c r="AA28" s="7" t="e">
        <f>+AA11/Z11-1</f>
        <v>#DIV/0!</v>
      </c>
      <c r="AB28" s="7">
        <f>+AB11/AA11-1</f>
        <v>4.4835559281845017E-2</v>
      </c>
      <c r="AC28" s="7">
        <v>2.8000000000000001E-2</v>
      </c>
    </row>
    <row r="30" spans="1:29" x14ac:dyDescent="0.2">
      <c r="A30" s="1" t="s">
        <v>66</v>
      </c>
      <c r="Q30" s="1">
        <f>+Q31-Q40</f>
        <v>-51724</v>
      </c>
      <c r="AB30" s="1">
        <f>+AB31-AB40</f>
        <v>-51724</v>
      </c>
    </row>
    <row r="31" spans="1:29" x14ac:dyDescent="0.2">
      <c r="A31" s="1" t="s">
        <v>19</v>
      </c>
      <c r="Q31" s="1">
        <v>1659</v>
      </c>
      <c r="AB31" s="1">
        <v>1659</v>
      </c>
    </row>
    <row r="32" spans="1:29" x14ac:dyDescent="0.2">
      <c r="A32" s="1" t="s">
        <v>67</v>
      </c>
      <c r="Q32" s="1">
        <v>4903</v>
      </c>
      <c r="AB32" s="1">
        <v>4903</v>
      </c>
    </row>
    <row r="33" spans="1:28" x14ac:dyDescent="0.2">
      <c r="A33" s="1" t="s">
        <v>68</v>
      </c>
      <c r="Q33" s="1">
        <v>23451</v>
      </c>
      <c r="AB33" s="1">
        <v>23451</v>
      </c>
    </row>
    <row r="34" spans="1:28" x14ac:dyDescent="0.2">
      <c r="A34" s="1" t="s">
        <v>69</v>
      </c>
      <c r="Q34" s="1">
        <v>1670</v>
      </c>
      <c r="AB34" s="1">
        <v>1670</v>
      </c>
    </row>
    <row r="35" spans="1:28" x14ac:dyDescent="0.2">
      <c r="A35" s="1" t="s">
        <v>70</v>
      </c>
      <c r="Q35" s="1">
        <v>26702</v>
      </c>
      <c r="AB35" s="1">
        <v>26702</v>
      </c>
    </row>
    <row r="36" spans="1:28" x14ac:dyDescent="0.2">
      <c r="A36" s="1" t="s">
        <v>71</v>
      </c>
      <c r="Q36" s="1">
        <v>8592</v>
      </c>
      <c r="AB36" s="1">
        <v>8592</v>
      </c>
    </row>
    <row r="37" spans="1:28" x14ac:dyDescent="0.2">
      <c r="A37" s="1" t="s">
        <v>72</v>
      </c>
      <c r="Q37" s="1">
        <f>19475+8983</f>
        <v>28458</v>
      </c>
      <c r="AB37" s="1">
        <f>19475+8983</f>
        <v>28458</v>
      </c>
    </row>
    <row r="38" spans="1:28" x14ac:dyDescent="0.2">
      <c r="A38" s="1" t="s">
        <v>83</v>
      </c>
      <c r="Q38" s="1">
        <v>684</v>
      </c>
      <c r="AB38" s="1">
        <v>684</v>
      </c>
    </row>
    <row r="39" spans="1:28" s="9" customFormat="1" x14ac:dyDescent="0.2">
      <c r="A39" s="9" t="s">
        <v>74</v>
      </c>
      <c r="Q39" s="9">
        <f>+SUM(Q31:Q38)</f>
        <v>96119</v>
      </c>
      <c r="AB39" s="9">
        <f>+SUM(AB31:AB38)</f>
        <v>96119</v>
      </c>
    </row>
    <row r="40" spans="1:28" x14ac:dyDescent="0.2">
      <c r="A40" s="1" t="s">
        <v>20</v>
      </c>
      <c r="Q40" s="1">
        <f>316+4582+48485</f>
        <v>53383</v>
      </c>
      <c r="AB40" s="1">
        <f>316+4582+48485</f>
        <v>53383</v>
      </c>
    </row>
    <row r="41" spans="1:28" x14ac:dyDescent="0.2">
      <c r="A41" s="1" t="s">
        <v>75</v>
      </c>
      <c r="Q41" s="1">
        <v>11938</v>
      </c>
      <c r="AB41" s="1">
        <v>11938</v>
      </c>
    </row>
    <row r="42" spans="1:28" x14ac:dyDescent="0.2">
      <c r="A42" s="1" t="s">
        <v>76</v>
      </c>
      <c r="Q42" s="1">
        <v>2315</v>
      </c>
      <c r="AB42" s="1">
        <v>2315</v>
      </c>
    </row>
    <row r="43" spans="1:28" x14ac:dyDescent="0.2">
      <c r="A43" s="1" t="s">
        <v>77</v>
      </c>
      <c r="Q43" s="1">
        <f>1274+7633</f>
        <v>8907</v>
      </c>
      <c r="AB43" s="1">
        <f>1274+7633</f>
        <v>8907</v>
      </c>
    </row>
    <row r="44" spans="1:28" x14ac:dyDescent="0.2">
      <c r="A44" s="1" t="s">
        <v>73</v>
      </c>
      <c r="Q44" s="1">
        <f>8236+4700</f>
        <v>12936</v>
      </c>
      <c r="AB44" s="1">
        <f>8236+4700</f>
        <v>12936</v>
      </c>
    </row>
    <row r="45" spans="1:28" s="9" customFormat="1" x14ac:dyDescent="0.2">
      <c r="A45" s="9" t="s">
        <v>78</v>
      </c>
      <c r="Q45" s="9">
        <f>+SUM(Q40:Q44)</f>
        <v>89479</v>
      </c>
      <c r="AB45" s="9">
        <f>+SUM(AB40:AB44)</f>
        <v>89479</v>
      </c>
    </row>
    <row r="46" spans="1:28" x14ac:dyDescent="0.2">
      <c r="A46" s="1" t="s">
        <v>79</v>
      </c>
      <c r="Q46" s="1">
        <v>6640</v>
      </c>
      <c r="AB46" s="1">
        <v>6640</v>
      </c>
    </row>
    <row r="47" spans="1:28" x14ac:dyDescent="0.2">
      <c r="A47" s="1" t="s">
        <v>80</v>
      </c>
      <c r="Q47" s="1">
        <f>+Q45+Q46</f>
        <v>96119</v>
      </c>
      <c r="AB47" s="1">
        <f>+AB45+AB46</f>
        <v>96119</v>
      </c>
    </row>
    <row r="49" spans="1:29" x14ac:dyDescent="0.2">
      <c r="A49" s="1" t="s">
        <v>81</v>
      </c>
      <c r="Q49" s="1">
        <f>+SUM(N19:Q19)</f>
        <v>17840</v>
      </c>
      <c r="AB49" s="1">
        <f>+AB19</f>
        <v>17840</v>
      </c>
    </row>
    <row r="50" spans="1:29" s="4" customFormat="1" x14ac:dyDescent="0.2">
      <c r="A50" s="4" t="s">
        <v>82</v>
      </c>
      <c r="Q50" s="4">
        <f>+Q49/(Q32+Q33+Q34+Q35+Q36+Q38)</f>
        <v>0.27029483955031663</v>
      </c>
      <c r="AB50" s="4">
        <f>+AB49/(AB32+AB33+AB34+AB35+AB36+AB38)</f>
        <v>0.27029483955031663</v>
      </c>
    </row>
    <row r="52" spans="1:29" x14ac:dyDescent="0.2">
      <c r="A52" s="1" t="s">
        <v>84</v>
      </c>
      <c r="N52" s="1">
        <f>+N19</f>
        <v>4287</v>
      </c>
      <c r="O52" s="1">
        <f>+O19</f>
        <v>5299</v>
      </c>
      <c r="P52" s="1">
        <f>+P19</f>
        <v>4443</v>
      </c>
      <c r="Q52" s="1">
        <f>+Q19</f>
        <v>3811</v>
      </c>
      <c r="AB52" s="1">
        <f>+AB19</f>
        <v>17840</v>
      </c>
    </row>
    <row r="53" spans="1:29" x14ac:dyDescent="0.2">
      <c r="A53" s="1" t="s">
        <v>85</v>
      </c>
      <c r="N53" s="1">
        <v>3600</v>
      </c>
      <c r="O53" s="1">
        <f>8161-N53</f>
        <v>4561</v>
      </c>
      <c r="P53" s="1">
        <f>11809-SUM(N53:O53)</f>
        <v>3648</v>
      </c>
      <c r="Q53" s="1">
        <f>+AB53-SUM(N53:P53)</f>
        <v>2997</v>
      </c>
      <c r="AB53" s="1">
        <v>14806</v>
      </c>
    </row>
    <row r="54" spans="1:29" x14ac:dyDescent="0.2">
      <c r="A54" s="1" t="s">
        <v>86</v>
      </c>
      <c r="N54" s="1">
        <v>837</v>
      </c>
      <c r="O54" s="1">
        <f>1615+142-N54</f>
        <v>920</v>
      </c>
      <c r="P54" s="1">
        <f>2472+280-SUM(N54:O54)</f>
        <v>995</v>
      </c>
      <c r="Q54" s="1">
        <f t="shared" ref="Q54:Q58" si="0">+AB54-SUM(N54:P54)</f>
        <v>1009</v>
      </c>
      <c r="AB54" s="1">
        <f>3336+425</f>
        <v>3761</v>
      </c>
    </row>
    <row r="55" spans="1:29" x14ac:dyDescent="0.2">
      <c r="A55" s="1" t="s">
        <v>87</v>
      </c>
      <c r="N55" s="1">
        <v>124</v>
      </c>
      <c r="O55" s="1">
        <f>222-N55</f>
        <v>98</v>
      </c>
      <c r="P55" s="1">
        <f>328-SUM(N55:O55)</f>
        <v>106</v>
      </c>
      <c r="Q55" s="1">
        <f t="shared" si="0"/>
        <v>114</v>
      </c>
      <c r="AB55" s="1">
        <v>442</v>
      </c>
    </row>
    <row r="56" spans="1:29" x14ac:dyDescent="0.2">
      <c r="A56" s="1" t="s">
        <v>88</v>
      </c>
      <c r="N56" s="1">
        <v>842</v>
      </c>
      <c r="O56" s="1">
        <f>667-N56</f>
        <v>-175</v>
      </c>
      <c r="P56" s="1">
        <f>84-SUM(N56:O56)</f>
        <v>-583</v>
      </c>
      <c r="Q56" s="1">
        <f t="shared" si="0"/>
        <v>595</v>
      </c>
      <c r="AB56" s="1">
        <v>679</v>
      </c>
    </row>
    <row r="57" spans="1:29" x14ac:dyDescent="0.2">
      <c r="A57" s="1" t="s">
        <v>89</v>
      </c>
      <c r="N57" s="1">
        <v>83</v>
      </c>
      <c r="O57" s="1">
        <f>159-N57</f>
        <v>76</v>
      </c>
      <c r="P57" s="1">
        <f>170-SUM(N57:O57)</f>
        <v>11</v>
      </c>
      <c r="Q57" s="1">
        <f t="shared" si="0"/>
        <v>-155</v>
      </c>
      <c r="AB57" s="1">
        <v>15</v>
      </c>
    </row>
    <row r="58" spans="1:29" x14ac:dyDescent="0.2">
      <c r="A58" s="1" t="s">
        <v>73</v>
      </c>
      <c r="N58" s="1">
        <v>11</v>
      </c>
      <c r="O58" s="1">
        <f>-60-N58</f>
        <v>-71</v>
      </c>
      <c r="P58" s="1">
        <f>-4-SUM(N58:O58)</f>
        <v>56</v>
      </c>
      <c r="Q58" s="1">
        <f t="shared" si="0"/>
        <v>111</v>
      </c>
      <c r="AB58" s="1">
        <v>107</v>
      </c>
    </row>
    <row r="59" spans="1:29" s="9" customFormat="1" x14ac:dyDescent="0.2">
      <c r="A59" s="9" t="s">
        <v>90</v>
      </c>
      <c r="N59" s="9">
        <f>+SUM(N53:N58)</f>
        <v>5497</v>
      </c>
      <c r="O59" s="9">
        <f>+SUM(O53:O58)</f>
        <v>5409</v>
      </c>
      <c r="P59" s="9">
        <f>+SUM(P53:P58)</f>
        <v>4233</v>
      </c>
      <c r="Q59" s="9">
        <f>+SUM(Q53:Q58)</f>
        <v>4671</v>
      </c>
      <c r="AB59" s="9">
        <f>+SUM(AB53:AB58)</f>
        <v>19810</v>
      </c>
    </row>
    <row r="61" spans="1:29" s="9" customFormat="1" x14ac:dyDescent="0.2">
      <c r="A61" s="9" t="s">
        <v>91</v>
      </c>
      <c r="N61" s="9">
        <v>-847</v>
      </c>
      <c r="O61" s="9">
        <f>-1566-N61</f>
        <v>-719</v>
      </c>
      <c r="P61" s="9">
        <f>-2384-SUM(N61:O61)</f>
        <v>-818</v>
      </c>
      <c r="Q61" s="9">
        <f t="shared" ref="Q61:Q63" si="1">+AB61-SUM(N61:P61)</f>
        <v>-1101</v>
      </c>
      <c r="AB61" s="9">
        <v>-3485</v>
      </c>
      <c r="AC61" s="9" t="s">
        <v>24</v>
      </c>
    </row>
    <row r="62" spans="1:29" s="16" customFormat="1" x14ac:dyDescent="0.2">
      <c r="A62" s="16" t="s">
        <v>101</v>
      </c>
      <c r="N62" s="16">
        <v>0</v>
      </c>
      <c r="O62" s="16">
        <f>-17570-N62</f>
        <v>-17570</v>
      </c>
      <c r="P62" s="16">
        <f>-17613-SUM(N62:O62)</f>
        <v>-43</v>
      </c>
      <c r="Q62" s="1">
        <f t="shared" si="1"/>
        <v>-31</v>
      </c>
      <c r="AB62" s="16">
        <v>-17644</v>
      </c>
    </row>
    <row r="63" spans="1:29" x14ac:dyDescent="0.2">
      <c r="A63" s="1" t="s">
        <v>73</v>
      </c>
      <c r="N63" s="1">
        <v>17</v>
      </c>
      <c r="O63" s="1">
        <f>38-N63</f>
        <v>21</v>
      </c>
      <c r="P63" s="1">
        <f>85-SUM(N63:O63)</f>
        <v>47</v>
      </c>
      <c r="Q63" s="1">
        <f t="shared" si="1"/>
        <v>13</v>
      </c>
      <c r="AB63" s="1">
        <v>98</v>
      </c>
    </row>
    <row r="64" spans="1:29" x14ac:dyDescent="0.2">
      <c r="A64" s="1" t="s">
        <v>92</v>
      </c>
      <c r="N64" s="1">
        <f>+SUM(N61:N63)</f>
        <v>-830</v>
      </c>
      <c r="O64" s="1">
        <f>+SUM(O61:O63)</f>
        <v>-18268</v>
      </c>
      <c r="P64" s="1">
        <f>+SUM(P61:P63)</f>
        <v>-814</v>
      </c>
      <c r="Q64" s="1">
        <f>+SUM(Q61:Q63)</f>
        <v>-1119</v>
      </c>
      <c r="AB64" s="1">
        <f>+SUM(AB61:AB63)</f>
        <v>-21031</v>
      </c>
    </row>
    <row r="66" spans="1:28" x14ac:dyDescent="0.2">
      <c r="A66" s="1" t="s">
        <v>20</v>
      </c>
      <c r="N66" s="1">
        <f>8-1172</f>
        <v>-1164</v>
      </c>
      <c r="O66" s="1">
        <f>2527+9952-1255-N66</f>
        <v>12388</v>
      </c>
      <c r="P66" s="1">
        <f>1344+9983-1355-SUM(N66:O66)</f>
        <v>-1252</v>
      </c>
      <c r="Q66" s="1">
        <f t="shared" ref="Q66:Q72" si="2">+AB66-SUM(N66:P66)</f>
        <v>-1182</v>
      </c>
      <c r="AB66" s="1">
        <f>316+10010-1536</f>
        <v>8790</v>
      </c>
    </row>
    <row r="67" spans="1:28" x14ac:dyDescent="0.2">
      <c r="A67" s="1" t="s">
        <v>93</v>
      </c>
      <c r="N67" s="1">
        <v>-649</v>
      </c>
      <c r="O67" s="1">
        <f>-649-N67</f>
        <v>0</v>
      </c>
      <c r="P67" s="1">
        <f>-649-SUM(N67:O67)</f>
        <v>0</v>
      </c>
      <c r="Q67" s="1">
        <f t="shared" si="2"/>
        <v>0</v>
      </c>
      <c r="AB67" s="1">
        <v>-649</v>
      </c>
    </row>
    <row r="68" spans="1:28" x14ac:dyDescent="0.2">
      <c r="A68" s="1" t="s">
        <v>94</v>
      </c>
      <c r="N68" s="1">
        <v>62</v>
      </c>
      <c r="O68" s="1">
        <f>210-N68</f>
        <v>148</v>
      </c>
      <c r="P68" s="1">
        <f>231-SUM(N68:O68)</f>
        <v>21</v>
      </c>
      <c r="Q68" s="1">
        <f t="shared" si="2"/>
        <v>164</v>
      </c>
      <c r="AB68" s="1">
        <v>395</v>
      </c>
    </row>
    <row r="69" spans="1:28" x14ac:dyDescent="0.2">
      <c r="A69" s="1" t="s">
        <v>95</v>
      </c>
      <c r="N69" s="1">
        <v>-2229</v>
      </c>
      <c r="O69" s="1">
        <f>-4460-N69</f>
        <v>-2231</v>
      </c>
      <c r="P69" s="1">
        <f>-6694-SUM(N69:O69)</f>
        <v>-2234</v>
      </c>
      <c r="Q69" s="1">
        <f t="shared" si="2"/>
        <v>-2235</v>
      </c>
      <c r="AB69" s="1">
        <v>-8929</v>
      </c>
    </row>
    <row r="70" spans="1:28" x14ac:dyDescent="0.2">
      <c r="A70" s="1" t="s">
        <v>73</v>
      </c>
      <c r="N70" s="1">
        <v>-166</v>
      </c>
      <c r="O70" s="1">
        <f>-212-N70</f>
        <v>-46</v>
      </c>
      <c r="P70" s="1">
        <f>-223-SUM(N70:O70)</f>
        <v>-11</v>
      </c>
      <c r="Q70" s="1">
        <f t="shared" si="2"/>
        <v>-78</v>
      </c>
      <c r="AB70" s="1">
        <v>-301</v>
      </c>
    </row>
    <row r="71" spans="1:28" x14ac:dyDescent="0.2">
      <c r="A71" s="1" t="s">
        <v>96</v>
      </c>
      <c r="N71" s="1">
        <f>+SUM(N66:N70)</f>
        <v>-4146</v>
      </c>
      <c r="O71" s="1">
        <f>+SUM(O66:O70)</f>
        <v>10259</v>
      </c>
      <c r="P71" s="1">
        <f>+SUM(P66:P70)</f>
        <v>-3476</v>
      </c>
      <c r="Q71" s="1">
        <f>+SUM(Q66:Q70)</f>
        <v>-3331</v>
      </c>
      <c r="AB71" s="1">
        <f>+SUM(AB66:AB70)</f>
        <v>-694</v>
      </c>
    </row>
    <row r="72" spans="1:28" x14ac:dyDescent="0.2">
      <c r="A72" s="1" t="s">
        <v>97</v>
      </c>
      <c r="N72" s="1">
        <v>-17</v>
      </c>
      <c r="O72" s="1">
        <f>-68-N72</f>
        <v>-51</v>
      </c>
      <c r="P72" s="1">
        <f>-93-SUM(N72:O72)</f>
        <v>-25</v>
      </c>
      <c r="Q72" s="1">
        <f t="shared" si="2"/>
        <v>-93</v>
      </c>
      <c r="AB72" s="1">
        <v>-186</v>
      </c>
    </row>
    <row r="73" spans="1:28" x14ac:dyDescent="0.2">
      <c r="A73" s="1" t="s">
        <v>98</v>
      </c>
      <c r="N73" s="1">
        <f>+N59+N64+N71+N72</f>
        <v>504</v>
      </c>
      <c r="O73" s="1">
        <f>+O59+O64+O71+O72</f>
        <v>-2651</v>
      </c>
      <c r="P73" s="1">
        <f>+P59+P64+P71+P72</f>
        <v>-82</v>
      </c>
      <c r="Q73" s="1">
        <f>+Q59+Q64+Q71+Q72</f>
        <v>128</v>
      </c>
      <c r="AB73" s="1">
        <f>+AB59+AB64+AB71+AB72</f>
        <v>-2101</v>
      </c>
    </row>
    <row r="75" spans="1:28" s="9" customFormat="1" x14ac:dyDescent="0.2">
      <c r="A75" s="9" t="s">
        <v>99</v>
      </c>
      <c r="N75" s="9">
        <f>+N59+N61</f>
        <v>4650</v>
      </c>
      <c r="O75" s="9">
        <f>+O59+O61</f>
        <v>4690</v>
      </c>
      <c r="P75" s="9">
        <f>+P59+P61</f>
        <v>3415</v>
      </c>
      <c r="Q75" s="9">
        <f>+Q59+Q61</f>
        <v>3570</v>
      </c>
      <c r="AB75" s="9">
        <f>+AB59+AB61</f>
        <v>16325</v>
      </c>
    </row>
    <row r="76" spans="1:28" x14ac:dyDescent="0.2">
      <c r="A76" s="1" t="s">
        <v>100</v>
      </c>
      <c r="Q76" s="1">
        <f>+SUM(N75:Q75)</f>
        <v>16325</v>
      </c>
    </row>
    <row r="78" spans="1:28" x14ac:dyDescent="0.2">
      <c r="A78" s="1" t="s">
        <v>25</v>
      </c>
      <c r="N78" s="1">
        <v>465000</v>
      </c>
      <c r="O78" s="1">
        <v>465000</v>
      </c>
      <c r="P78" s="1">
        <v>465000</v>
      </c>
      <c r="Q78" s="1">
        <v>470000</v>
      </c>
      <c r="AB78" s="1">
        <v>470000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2025-04-24T12:41:43Z</dcterms:created>
  <dcterms:modified xsi:type="dcterms:W3CDTF">2025-04-24T14:54:28Z</dcterms:modified>
</cp:coreProperties>
</file>