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56D09325-3001-4EFD-9F1F-BC6F4563CA48}" xr6:coauthVersionLast="47" xr6:coauthVersionMax="47" xr10:uidLastSave="{00000000-0000-0000-0000-000000000000}"/>
  <bookViews>
    <workbookView xWindow="14475" yWindow="30" windowWidth="14235" windowHeight="15495" activeTab="1" xr2:uid="{80709D9E-E9BE-419C-B9E2-6B5433088B08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2" l="1"/>
  <c r="Q11" i="2"/>
  <c r="Q10" i="2"/>
  <c r="Q8" i="2"/>
  <c r="Q9" i="2"/>
  <c r="L7" i="1"/>
  <c r="L6" i="1"/>
  <c r="L4" i="1"/>
  <c r="AE18" i="2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D18" i="2"/>
  <c r="AE16" i="2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D16" i="2"/>
  <c r="AE15" i="2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D15" i="2"/>
  <c r="P82" i="2"/>
  <c r="P80" i="2"/>
  <c r="P79" i="2"/>
  <c r="P78" i="2"/>
  <c r="P77" i="2"/>
  <c r="P76" i="2"/>
  <c r="P75" i="2"/>
  <c r="P74" i="2"/>
  <c r="P72" i="2"/>
  <c r="P71" i="2"/>
  <c r="P70" i="2"/>
  <c r="P69" i="2"/>
  <c r="P56" i="2"/>
  <c r="P67" i="2" s="1"/>
  <c r="P66" i="2"/>
  <c r="P65" i="2"/>
  <c r="P64" i="2"/>
  <c r="P63" i="2"/>
  <c r="P62" i="2"/>
  <c r="P60" i="2"/>
  <c r="P59" i="2"/>
  <c r="P58" i="2"/>
  <c r="P57" i="2"/>
  <c r="P55" i="2"/>
  <c r="P45" i="2"/>
  <c r="P40" i="2"/>
  <c r="P52" i="2"/>
  <c r="P53" i="2" s="1"/>
  <c r="P48" i="2"/>
  <c r="P50" i="2" s="1"/>
  <c r="P42" i="2"/>
  <c r="P34" i="2"/>
  <c r="P20" i="2"/>
  <c r="P21" i="2" s="1"/>
  <c r="O20" i="2"/>
  <c r="N20" i="2"/>
  <c r="N21" i="2" s="1"/>
  <c r="L20" i="2"/>
  <c r="K20" i="2"/>
  <c r="J20" i="2"/>
  <c r="H20" i="2"/>
  <c r="G20" i="2"/>
  <c r="O21" i="2"/>
  <c r="L21" i="2"/>
  <c r="K21" i="2"/>
  <c r="J21" i="2"/>
  <c r="H21" i="2"/>
  <c r="G21" i="2"/>
  <c r="F21" i="2"/>
  <c r="E21" i="2"/>
  <c r="D21" i="2"/>
  <c r="C21" i="2"/>
  <c r="B21" i="2"/>
  <c r="F20" i="2"/>
  <c r="AC21" i="2"/>
  <c r="AB21" i="2"/>
  <c r="AA21" i="2"/>
  <c r="Z21" i="2"/>
  <c r="Y21" i="2"/>
  <c r="X21" i="2"/>
  <c r="W21" i="2"/>
  <c r="V21" i="2"/>
  <c r="U21" i="2"/>
  <c r="AD20" i="2"/>
  <c r="AC20" i="2"/>
  <c r="AB20" i="2"/>
  <c r="AA20" i="2"/>
  <c r="Z20" i="2"/>
  <c r="Y20" i="2"/>
  <c r="W20" i="2"/>
  <c r="V20" i="2"/>
  <c r="U20" i="2"/>
  <c r="X20" i="2"/>
  <c r="E20" i="2"/>
  <c r="D20" i="2"/>
  <c r="C20" i="2"/>
  <c r="B20" i="2"/>
  <c r="P32" i="2"/>
  <c r="P27" i="2"/>
  <c r="P19" i="2"/>
  <c r="P17" i="2"/>
  <c r="P15" i="2"/>
  <c r="I13" i="2"/>
  <c r="I12" i="2"/>
  <c r="I11" i="2"/>
  <c r="I10" i="2"/>
  <c r="I9" i="2"/>
  <c r="I8" i="2"/>
  <c r="M13" i="2"/>
  <c r="M12" i="2"/>
  <c r="M11" i="2"/>
  <c r="M10" i="2"/>
  <c r="M9" i="2"/>
  <c r="M8" i="2"/>
  <c r="AC34" i="2"/>
  <c r="AE25" i="2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D25" i="2"/>
  <c r="AD32" i="2" l="1"/>
  <c r="P30" i="2"/>
  <c r="P23" i="2"/>
  <c r="P28" i="2"/>
  <c r="AD17" i="2"/>
  <c r="M69" i="2"/>
  <c r="M82" i="2" s="1"/>
  <c r="M67" i="2"/>
  <c r="AB82" i="2"/>
  <c r="AA82" i="2"/>
  <c r="AC82" i="2"/>
  <c r="AB6" i="2"/>
  <c r="AC6" i="2"/>
  <c r="AB4" i="2"/>
  <c r="AC4" i="2"/>
  <c r="K69" i="2"/>
  <c r="L69" i="2" s="1"/>
  <c r="K67" i="2"/>
  <c r="L67" i="2" s="1"/>
  <c r="J82" i="2"/>
  <c r="N75" i="2"/>
  <c r="N78" i="2" s="1"/>
  <c r="N69" i="2"/>
  <c r="N72" i="2" s="1"/>
  <c r="N67" i="2"/>
  <c r="N45" i="2"/>
  <c r="N48" i="2" s="1"/>
  <c r="N50" i="2" s="1"/>
  <c r="N40" i="2"/>
  <c r="N42" i="2" s="1"/>
  <c r="O79" i="2"/>
  <c r="O77" i="2"/>
  <c r="O76" i="2"/>
  <c r="O74" i="2"/>
  <c r="O71" i="2"/>
  <c r="O70" i="2"/>
  <c r="O66" i="2"/>
  <c r="O65" i="2"/>
  <c r="O64" i="2"/>
  <c r="O63" i="2"/>
  <c r="O62" i="2"/>
  <c r="O61" i="2"/>
  <c r="O60" i="2"/>
  <c r="O59" i="2"/>
  <c r="O58" i="2"/>
  <c r="O57" i="2"/>
  <c r="O56" i="2"/>
  <c r="O45" i="2"/>
  <c r="O48" i="2" s="1"/>
  <c r="O50" i="2" s="1"/>
  <c r="O40" i="2"/>
  <c r="O42" i="2" s="1"/>
  <c r="U32" i="2"/>
  <c r="U17" i="2"/>
  <c r="U19" i="2" s="1"/>
  <c r="V32" i="2"/>
  <c r="V17" i="2"/>
  <c r="V27" i="2" s="1"/>
  <c r="W32" i="2"/>
  <c r="W17" i="2"/>
  <c r="W27" i="2" s="1"/>
  <c r="X32" i="2"/>
  <c r="X17" i="2"/>
  <c r="X27" i="2" s="1"/>
  <c r="Y32" i="2"/>
  <c r="Y17" i="2"/>
  <c r="Y19" i="2" s="1"/>
  <c r="Z32" i="2"/>
  <c r="Z17" i="2"/>
  <c r="Z27" i="2" s="1"/>
  <c r="E25" i="2"/>
  <c r="E22" i="2"/>
  <c r="E18" i="2"/>
  <c r="E16" i="2"/>
  <c r="E15" i="2"/>
  <c r="I25" i="2"/>
  <c r="I22" i="2"/>
  <c r="I18" i="2"/>
  <c r="I16" i="2"/>
  <c r="I15" i="2"/>
  <c r="M25" i="2"/>
  <c r="M22" i="2"/>
  <c r="M18" i="2"/>
  <c r="M16" i="2"/>
  <c r="M15" i="2"/>
  <c r="D17" i="2"/>
  <c r="D19" i="2" s="1"/>
  <c r="B17" i="2"/>
  <c r="B27" i="2" s="1"/>
  <c r="F32" i="2"/>
  <c r="F17" i="2"/>
  <c r="F19" i="2" s="1"/>
  <c r="C17" i="2"/>
  <c r="C27" i="2" s="1"/>
  <c r="G32" i="2"/>
  <c r="G17" i="2"/>
  <c r="G19" i="2" s="1"/>
  <c r="H32" i="2"/>
  <c r="H17" i="2"/>
  <c r="H19" i="2" s="1"/>
  <c r="L32" i="2"/>
  <c r="L17" i="2"/>
  <c r="L27" i="2" s="1"/>
  <c r="AA32" i="2"/>
  <c r="AA17" i="2"/>
  <c r="AA27" i="2" s="1"/>
  <c r="AB32" i="2"/>
  <c r="AB17" i="2"/>
  <c r="AB19" i="2" s="1"/>
  <c r="AC32" i="2"/>
  <c r="AC17" i="2"/>
  <c r="AC19" i="2" s="1"/>
  <c r="J32" i="2"/>
  <c r="J17" i="2"/>
  <c r="J27" i="2" s="1"/>
  <c r="N32" i="2"/>
  <c r="N17" i="2"/>
  <c r="N27" i="2" s="1"/>
  <c r="K32" i="2"/>
  <c r="K17" i="2"/>
  <c r="K27" i="2" s="1"/>
  <c r="O32" i="2"/>
  <c r="O17" i="2"/>
  <c r="O19" i="2" s="1"/>
  <c r="O28" i="2" s="1"/>
  <c r="L5" i="1"/>
  <c r="L8" i="1" s="1"/>
  <c r="L10" i="1" s="1"/>
  <c r="P29" i="2" l="1"/>
  <c r="P24" i="2"/>
  <c r="AE32" i="2"/>
  <c r="AD19" i="2"/>
  <c r="AD21" i="2" s="1"/>
  <c r="AD22" i="2" s="1"/>
  <c r="AD27" i="2"/>
  <c r="AE17" i="2"/>
  <c r="N82" i="2"/>
  <c r="O69" i="2"/>
  <c r="N80" i="2"/>
  <c r="O72" i="2"/>
  <c r="N34" i="2"/>
  <c r="K82" i="2"/>
  <c r="O75" i="2"/>
  <c r="O78" i="2" s="1"/>
  <c r="L82" i="2"/>
  <c r="O34" i="2"/>
  <c r="M17" i="2"/>
  <c r="M27" i="2" s="1"/>
  <c r="M32" i="2"/>
  <c r="E17" i="2"/>
  <c r="E27" i="2" s="1"/>
  <c r="O67" i="2"/>
  <c r="O27" i="2"/>
  <c r="I32" i="2"/>
  <c r="M20" i="2"/>
  <c r="M21" i="2" s="1"/>
  <c r="O23" i="2"/>
  <c r="O55" i="2" s="1"/>
  <c r="I20" i="2"/>
  <c r="I21" i="2" s="1"/>
  <c r="I17" i="2"/>
  <c r="I27" i="2" s="1"/>
  <c r="U28" i="2"/>
  <c r="U27" i="2"/>
  <c r="V19" i="2"/>
  <c r="W19" i="2"/>
  <c r="X19" i="2"/>
  <c r="Y28" i="2"/>
  <c r="Y27" i="2"/>
  <c r="Z19" i="2"/>
  <c r="Z28" i="2" s="1"/>
  <c r="D28" i="2"/>
  <c r="D27" i="2"/>
  <c r="B19" i="2"/>
  <c r="F28" i="2"/>
  <c r="F27" i="2"/>
  <c r="C19" i="2"/>
  <c r="G28" i="2"/>
  <c r="G27" i="2"/>
  <c r="H27" i="2"/>
  <c r="H28" i="2"/>
  <c r="L19" i="2"/>
  <c r="L28" i="2" s="1"/>
  <c r="AA19" i="2"/>
  <c r="AB28" i="2"/>
  <c r="AB27" i="2"/>
  <c r="AC28" i="2"/>
  <c r="AC27" i="2"/>
  <c r="J19" i="2"/>
  <c r="N19" i="2"/>
  <c r="K19" i="2"/>
  <c r="AD28" i="2" l="1"/>
  <c r="AE19" i="2"/>
  <c r="AE28" i="2" s="1"/>
  <c r="AE27" i="2"/>
  <c r="AF32" i="2"/>
  <c r="AF17" i="2"/>
  <c r="AD23" i="2"/>
  <c r="AD30" i="2"/>
  <c r="O82" i="2"/>
  <c r="E19" i="2"/>
  <c r="E28" i="2" s="1"/>
  <c r="M19" i="2"/>
  <c r="M28" i="2" s="1"/>
  <c r="I19" i="2"/>
  <c r="I23" i="2" s="1"/>
  <c r="O30" i="2"/>
  <c r="O80" i="2"/>
  <c r="K28" i="2"/>
  <c r="O24" i="2"/>
  <c r="O29" i="2"/>
  <c r="U30" i="2"/>
  <c r="U23" i="2"/>
  <c r="V28" i="2"/>
  <c r="W28" i="2"/>
  <c r="X28" i="2"/>
  <c r="Y30" i="2"/>
  <c r="Y23" i="2"/>
  <c r="Z30" i="2"/>
  <c r="D30" i="2"/>
  <c r="D23" i="2"/>
  <c r="B28" i="2"/>
  <c r="F30" i="2"/>
  <c r="F23" i="2"/>
  <c r="C28" i="2"/>
  <c r="G30" i="2"/>
  <c r="G23" i="2"/>
  <c r="H30" i="2"/>
  <c r="H23" i="2"/>
  <c r="L30" i="2"/>
  <c r="L23" i="2"/>
  <c r="AA28" i="2"/>
  <c r="AB30" i="2"/>
  <c r="AB23" i="2"/>
  <c r="AC30" i="2"/>
  <c r="AC23" i="2"/>
  <c r="J28" i="2"/>
  <c r="N28" i="2"/>
  <c r="AD24" i="2" l="1"/>
  <c r="AF19" i="2"/>
  <c r="AF28" i="2" s="1"/>
  <c r="AF27" i="2"/>
  <c r="AG32" i="2"/>
  <c r="AG17" i="2"/>
  <c r="AD29" i="2"/>
  <c r="AD34" i="2"/>
  <c r="E23" i="2"/>
  <c r="I30" i="2"/>
  <c r="I28" i="2"/>
  <c r="M23" i="2"/>
  <c r="K23" i="2"/>
  <c r="K30" i="2"/>
  <c r="I29" i="2"/>
  <c r="I24" i="2"/>
  <c r="U29" i="2"/>
  <c r="U24" i="2"/>
  <c r="V30" i="2"/>
  <c r="V23" i="2"/>
  <c r="W30" i="2"/>
  <c r="W23" i="2"/>
  <c r="X30" i="2"/>
  <c r="X23" i="2"/>
  <c r="Y29" i="2"/>
  <c r="Y24" i="2"/>
  <c r="Z23" i="2"/>
  <c r="Z29" i="2" s="1"/>
  <c r="Z24" i="2"/>
  <c r="D29" i="2"/>
  <c r="D24" i="2"/>
  <c r="B30" i="2"/>
  <c r="B23" i="2"/>
  <c r="F29" i="2"/>
  <c r="F24" i="2"/>
  <c r="C30" i="2"/>
  <c r="C23" i="2"/>
  <c r="G29" i="2"/>
  <c r="G24" i="2"/>
  <c r="H29" i="2"/>
  <c r="H24" i="2"/>
  <c r="L29" i="2"/>
  <c r="L24" i="2"/>
  <c r="AA30" i="2"/>
  <c r="AA23" i="2"/>
  <c r="AB29" i="2"/>
  <c r="AB24" i="2"/>
  <c r="AC29" i="2"/>
  <c r="AC24" i="2"/>
  <c r="J30" i="2"/>
  <c r="J23" i="2"/>
  <c r="N30" i="2"/>
  <c r="N23" i="2"/>
  <c r="N55" i="2" s="1"/>
  <c r="AE20" i="2" l="1"/>
  <c r="AE21" i="2" s="1"/>
  <c r="AG19" i="2"/>
  <c r="AG28" i="2" s="1"/>
  <c r="AG27" i="2"/>
  <c r="AH32" i="2"/>
  <c r="AH17" i="2"/>
  <c r="E30" i="2"/>
  <c r="N52" i="2"/>
  <c r="N53" i="2" s="1"/>
  <c r="O52" i="2"/>
  <c r="O53" i="2" s="1"/>
  <c r="M30" i="2"/>
  <c r="M29" i="2"/>
  <c r="M24" i="2"/>
  <c r="K24" i="2"/>
  <c r="K29" i="2"/>
  <c r="E29" i="2"/>
  <c r="E24" i="2"/>
  <c r="V29" i="2"/>
  <c r="V24" i="2"/>
  <c r="W29" i="2"/>
  <c r="W24" i="2"/>
  <c r="X29" i="2"/>
  <c r="X24" i="2"/>
  <c r="B29" i="2"/>
  <c r="B24" i="2"/>
  <c r="C29" i="2"/>
  <c r="C24" i="2"/>
  <c r="AA29" i="2"/>
  <c r="AA24" i="2"/>
  <c r="J29" i="2"/>
  <c r="J24" i="2"/>
  <c r="N29" i="2"/>
  <c r="N24" i="2"/>
  <c r="AE22" i="2" l="1"/>
  <c r="AE30" i="2" s="1"/>
  <c r="AI32" i="2"/>
  <c r="AI17" i="2"/>
  <c r="AH27" i="2"/>
  <c r="AH19" i="2"/>
  <c r="AH28" i="2" s="1"/>
  <c r="AE23" i="2" l="1"/>
  <c r="AE34" i="2" s="1"/>
  <c r="AF20" i="2" s="1"/>
  <c r="AF21" i="2" s="1"/>
  <c r="AF22" i="2" s="1"/>
  <c r="AF30" i="2" s="1"/>
  <c r="AE29" i="2"/>
  <c r="AI19" i="2"/>
  <c r="AI28" i="2" s="1"/>
  <c r="AI27" i="2"/>
  <c r="AJ32" i="2"/>
  <c r="AJ17" i="2"/>
  <c r="AE24" i="2" l="1"/>
  <c r="AK32" i="2"/>
  <c r="AK17" i="2"/>
  <c r="AF23" i="2"/>
  <c r="AF29" i="2" s="1"/>
  <c r="AJ19" i="2"/>
  <c r="AJ28" i="2" s="1"/>
  <c r="AJ27" i="2"/>
  <c r="AF34" i="2" l="1"/>
  <c r="AF24" i="2"/>
  <c r="AK27" i="2"/>
  <c r="AK19" i="2"/>
  <c r="AK28" i="2" s="1"/>
  <c r="AL32" i="2"/>
  <c r="AL17" i="2"/>
  <c r="AG20" i="2" l="1"/>
  <c r="AG21" i="2" s="1"/>
  <c r="AG22" i="2" s="1"/>
  <c r="AG30" i="2" s="1"/>
  <c r="AL27" i="2"/>
  <c r="AL19" i="2"/>
  <c r="AL28" i="2" s="1"/>
  <c r="AM32" i="2"/>
  <c r="AM17" i="2"/>
  <c r="AG23" i="2" l="1"/>
  <c r="AG24" i="2" s="1"/>
  <c r="AM27" i="2"/>
  <c r="AM19" i="2"/>
  <c r="AM28" i="2" s="1"/>
  <c r="AN32" i="2"/>
  <c r="AN17" i="2"/>
  <c r="AG34" i="2" l="1"/>
  <c r="AH20" i="2" s="1"/>
  <c r="AH21" i="2" s="1"/>
  <c r="AH22" i="2" s="1"/>
  <c r="AG29" i="2"/>
  <c r="AN27" i="2"/>
  <c r="AN19" i="2"/>
  <c r="AN28" i="2" s="1"/>
  <c r="AO32" i="2"/>
  <c r="AO17" i="2"/>
  <c r="AH23" i="2"/>
  <c r="AH30" i="2"/>
  <c r="AO27" i="2" l="1"/>
  <c r="AO19" i="2"/>
  <c r="AO28" i="2" s="1"/>
  <c r="AH24" i="2"/>
  <c r="AP32" i="2"/>
  <c r="AP17" i="2"/>
  <c r="AH29" i="2"/>
  <c r="AH34" i="2"/>
  <c r="AI20" i="2" s="1"/>
  <c r="AP27" i="2" l="1"/>
  <c r="AP19" i="2"/>
  <c r="AP28" i="2" s="1"/>
  <c r="AQ32" i="2"/>
  <c r="AQ17" i="2"/>
  <c r="AI21" i="2"/>
  <c r="AI22" i="2" s="1"/>
  <c r="AQ27" i="2" l="1"/>
  <c r="AQ19" i="2"/>
  <c r="AQ28" i="2" s="1"/>
  <c r="AR32" i="2"/>
  <c r="AR17" i="2"/>
  <c r="AI23" i="2"/>
  <c r="AI24" i="2" s="1"/>
  <c r="AI30" i="2"/>
  <c r="AR27" i="2" l="1"/>
  <c r="AR19" i="2"/>
  <c r="AR28" i="2" s="1"/>
  <c r="AI29" i="2"/>
  <c r="AI34" i="2"/>
  <c r="AJ20" i="2" s="1"/>
  <c r="AJ21" i="2" l="1"/>
  <c r="AJ22" i="2" s="1"/>
  <c r="AJ23" i="2" l="1"/>
  <c r="AJ24" i="2" s="1"/>
  <c r="AJ30" i="2"/>
  <c r="AJ29" i="2" l="1"/>
  <c r="AJ34" i="2"/>
  <c r="AK20" i="2" s="1"/>
  <c r="AK21" i="2" l="1"/>
  <c r="AK22" i="2" s="1"/>
  <c r="AK23" i="2" l="1"/>
  <c r="AK24" i="2" s="1"/>
  <c r="AK30" i="2"/>
  <c r="AK29" i="2" l="1"/>
  <c r="AK34" i="2"/>
  <c r="AL20" i="2" s="1"/>
  <c r="AL21" i="2" l="1"/>
  <c r="AL22" i="2" s="1"/>
  <c r="AL23" i="2" l="1"/>
  <c r="AL24" i="2" s="1"/>
  <c r="AL30" i="2"/>
  <c r="AL29" i="2" l="1"/>
  <c r="AL34" i="2"/>
  <c r="AM20" i="2" s="1"/>
  <c r="AM21" i="2" l="1"/>
  <c r="AM22" i="2" s="1"/>
  <c r="AM30" i="2" l="1"/>
  <c r="AM23" i="2"/>
  <c r="AM24" i="2" s="1"/>
  <c r="AM29" i="2" l="1"/>
  <c r="AM34" i="2"/>
  <c r="AN20" i="2" s="1"/>
  <c r="AN21" i="2" l="1"/>
  <c r="AN22" i="2" s="1"/>
  <c r="AN30" i="2" l="1"/>
  <c r="AN23" i="2"/>
  <c r="AN24" i="2" s="1"/>
  <c r="AN29" i="2" l="1"/>
  <c r="AN34" i="2"/>
  <c r="AO20" i="2" s="1"/>
  <c r="AO21" i="2" l="1"/>
  <c r="AO22" i="2" s="1"/>
  <c r="AO30" i="2" l="1"/>
  <c r="AO23" i="2"/>
  <c r="AO24" i="2" s="1"/>
  <c r="AO29" i="2" l="1"/>
  <c r="AO34" i="2"/>
  <c r="AP20" i="2" s="1"/>
  <c r="AP21" i="2" l="1"/>
  <c r="AP22" i="2" s="1"/>
  <c r="AP30" i="2" l="1"/>
  <c r="AP23" i="2"/>
  <c r="AP24" i="2" s="1"/>
  <c r="AP29" i="2" l="1"/>
  <c r="AP34" i="2"/>
  <c r="AQ20" i="2" s="1"/>
  <c r="AQ21" i="2" l="1"/>
  <c r="AQ22" i="2" s="1"/>
  <c r="AQ23" i="2" l="1"/>
  <c r="AQ24" i="2" s="1"/>
  <c r="AQ30" i="2"/>
  <c r="AQ29" i="2" l="1"/>
  <c r="AQ34" i="2"/>
  <c r="AR20" i="2" s="1"/>
  <c r="AR21" i="2" l="1"/>
  <c r="AR22" i="2" s="1"/>
  <c r="AR30" i="2" l="1"/>
  <c r="AR23" i="2"/>
  <c r="AS23" i="2" l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AU29" i="2" s="1"/>
  <c r="AU30" i="2" s="1"/>
  <c r="AU31" i="2" s="1"/>
  <c r="AR24" i="2"/>
  <c r="AR29" i="2"/>
  <c r="AR34" i="2"/>
</calcChain>
</file>

<file path=xl/sharedStrings.xml><?xml version="1.0" encoding="utf-8"?>
<sst xmlns="http://schemas.openxmlformats.org/spreadsheetml/2006/main" count="157" uniqueCount="137">
  <si>
    <t>Revenue</t>
  </si>
  <si>
    <t>COGS</t>
  </si>
  <si>
    <t>Gross profit</t>
  </si>
  <si>
    <t>SG&amp;A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</si>
  <si>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</si>
  <si>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</si>
  <si>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</si>
  <si>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</si>
  <si>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</si>
  <si>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</si>
  <si>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</si>
  <si>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</si>
  <si>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</si>
  <si>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</si>
  <si>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</si>
  <si>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</si>
  <si>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Price</t>
  </si>
  <si>
    <t>MC</t>
  </si>
  <si>
    <t>Cash</t>
  </si>
  <si>
    <t>Debt</t>
  </si>
  <si>
    <t>EV</t>
  </si>
  <si>
    <t>FQ224</t>
  </si>
  <si>
    <t>FQ124</t>
  </si>
  <si>
    <t>FQ423</t>
  </si>
  <si>
    <t>FQ323</t>
  </si>
  <si>
    <t>FQ223</t>
  </si>
  <si>
    <t>FQ123</t>
  </si>
  <si>
    <t>FQ422</t>
  </si>
  <si>
    <t>FQ322</t>
  </si>
  <si>
    <t>FQ222</t>
  </si>
  <si>
    <t>FQ122</t>
  </si>
  <si>
    <t>Net cash</t>
  </si>
  <si>
    <t>AR</t>
  </si>
  <si>
    <t>Inventories</t>
  </si>
  <si>
    <t>PP&amp;E</t>
  </si>
  <si>
    <t>Goodwil</t>
  </si>
  <si>
    <t>Other</t>
  </si>
  <si>
    <t>Assets</t>
  </si>
  <si>
    <t>AP</t>
  </si>
  <si>
    <t>Accrued</t>
  </si>
  <si>
    <t>Prepaid</t>
  </si>
  <si>
    <t>DT</t>
  </si>
  <si>
    <t>Liabilties</t>
  </si>
  <si>
    <t>S/E</t>
  </si>
  <si>
    <t>L+S/E</t>
  </si>
  <si>
    <t>NI TTM</t>
  </si>
  <si>
    <t>ROTA</t>
  </si>
  <si>
    <t>Model NI</t>
  </si>
  <si>
    <t>Reported  NI</t>
  </si>
  <si>
    <t>D&amp;A</t>
  </si>
  <si>
    <t>SBC</t>
  </si>
  <si>
    <t>Sale of assets</t>
  </si>
  <si>
    <t>Impairment</t>
  </si>
  <si>
    <t>AP &amp; accrued</t>
  </si>
  <si>
    <t>ROU</t>
  </si>
  <si>
    <t>CFFO</t>
  </si>
  <si>
    <t>CapEx</t>
  </si>
  <si>
    <t>Acquisitions</t>
  </si>
  <si>
    <t>CFFI</t>
  </si>
  <si>
    <t>Dividends</t>
  </si>
  <si>
    <t>Buybacks</t>
  </si>
  <si>
    <t>Options</t>
  </si>
  <si>
    <t>CFFF</t>
  </si>
  <si>
    <t>FX</t>
  </si>
  <si>
    <t>CIC</t>
  </si>
  <si>
    <t>FCF</t>
  </si>
  <si>
    <t>Beauty</t>
  </si>
  <si>
    <t>Grooming</t>
  </si>
  <si>
    <t>Health Care</t>
  </si>
  <si>
    <t>Fabric &amp; Home Care</t>
  </si>
  <si>
    <t>Baby, Feminine &amp; Family Care</t>
  </si>
  <si>
    <t>Corporate</t>
  </si>
  <si>
    <t>Pre- and Post-Shave Products, Other Grooming)</t>
  </si>
  <si>
    <r>
      <rPr>
        <sz val="10"/>
        <color theme="1"/>
        <rFont val="arial"/>
        <family val="2"/>
      </rPr>
      <t>Grooming</t>
    </r>
    <r>
      <rPr>
        <i/>
        <sz val="10"/>
        <color theme="1"/>
        <rFont val="arial"/>
        <family val="2"/>
      </rPr>
      <t xml:space="preserve"> (Appliances, Female Blades &amp; Razers, Male Blades &amp; Razers</t>
    </r>
  </si>
  <si>
    <r>
      <t xml:space="preserve">Hair Care </t>
    </r>
    <r>
      <rPr>
        <i/>
        <sz val="10"/>
        <color theme="1"/>
        <rFont val="arial"/>
        <family val="2"/>
      </rPr>
      <t>(Conditioners, Shampoos, Styling Aids, Treatments)</t>
    </r>
  </si>
  <si>
    <r>
      <t xml:space="preserve">Personal Care </t>
    </r>
    <r>
      <rPr>
        <i/>
        <sz val="10"/>
        <color theme="1"/>
        <rFont val="arial"/>
        <family val="2"/>
      </rPr>
      <t>(Antiperspirants and Deodorants, Personal Cleansing)</t>
    </r>
  </si>
  <si>
    <r>
      <t xml:space="preserve">Skin Care </t>
    </r>
    <r>
      <rPr>
        <i/>
        <sz val="10"/>
        <color theme="1"/>
        <rFont val="arial"/>
        <family val="2"/>
      </rPr>
      <t>(Facial Moisturizers, Cleaners and Treatments)</t>
    </r>
  </si>
  <si>
    <r>
      <t xml:space="preserve">Baby Care </t>
    </r>
    <r>
      <rPr>
        <i/>
        <sz val="10"/>
        <color theme="1"/>
        <rFont val="arial"/>
        <family val="2"/>
      </rPr>
      <t>(Baby Wipes, Taped Diapers and Pants)</t>
    </r>
  </si>
  <si>
    <r>
      <t xml:space="preserve">Feminine </t>
    </r>
    <r>
      <rPr>
        <i/>
        <sz val="10"/>
        <color theme="1"/>
        <rFont val="arial"/>
        <family val="2"/>
      </rPr>
      <t>(Adult Incontinence, Menstrual Care)</t>
    </r>
  </si>
  <si>
    <r>
      <t xml:space="preserve">Family Care </t>
    </r>
    <r>
      <rPr>
        <i/>
        <sz val="10"/>
        <color theme="1"/>
        <rFont val="arial"/>
        <family val="2"/>
      </rPr>
      <t>(Paper Towels, Tissues, Toilet Paper)</t>
    </r>
  </si>
  <si>
    <r>
      <t xml:space="preserve">Oral Care </t>
    </r>
    <r>
      <rPr>
        <i/>
        <sz val="10"/>
        <color theme="1"/>
        <rFont val="arial"/>
        <family val="2"/>
      </rPr>
      <t>(Toothbrushes, Toothpastes, Other Oral Care)</t>
    </r>
  </si>
  <si>
    <t>Vitamins/Minerals/Supplements, Other Personal Health Care)</t>
  </si>
  <si>
    <r>
      <t xml:space="preserve">Personal Health </t>
    </r>
    <r>
      <rPr>
        <i/>
        <sz val="10"/>
        <color theme="1"/>
        <rFont val="arial"/>
        <family val="2"/>
      </rPr>
      <t>(Gastrointestinal, Pain Relief, Rapid Diagnostics, Respiratory</t>
    </r>
  </si>
  <si>
    <r>
      <t xml:space="preserve">Fabric Care </t>
    </r>
    <r>
      <rPr>
        <i/>
        <sz val="10"/>
        <color theme="1"/>
        <rFont val="arial"/>
        <family val="2"/>
      </rPr>
      <t>(Fabric Enchancers, Laundry Additives, Laundry Detergents)</t>
    </r>
  </si>
  <si>
    <r>
      <t xml:space="preserve">Home Care </t>
    </r>
    <r>
      <rPr>
        <i/>
        <sz val="10"/>
        <color theme="1"/>
        <rFont val="arial"/>
        <family val="2"/>
      </rPr>
      <t>(Air Care, Dish Care, P&amp;G Professional, Surface Care)</t>
    </r>
  </si>
  <si>
    <t>Brands</t>
  </si>
  <si>
    <t>Head &amp; Shoulders, Herbal Essences, Pantene, Rejoice</t>
  </si>
  <si>
    <t>Native, Old Spice, Safeguard, Secret</t>
  </si>
  <si>
    <t>Olay, SK-II</t>
  </si>
  <si>
    <t>Braun, Gillette, Venus</t>
  </si>
  <si>
    <t>Crest, Oral-B</t>
  </si>
  <si>
    <t>Metamucil, Neurobion, Pepto-Bismol, Vicks</t>
  </si>
  <si>
    <t>Ariel, Downy, Gain, Tide</t>
  </si>
  <si>
    <t>Cascade, Dawn, Fairy, Febreze, Mr. Clean, Swiffer</t>
  </si>
  <si>
    <t>Luvs, Pampers</t>
  </si>
  <si>
    <t>Always, Always Discreet, Tampax</t>
  </si>
  <si>
    <t>Bounty, Charmin, Puffs</t>
  </si>
  <si>
    <t>Product Categories</t>
  </si>
  <si>
    <t>Segments</t>
  </si>
  <si>
    <t>United States</t>
  </si>
  <si>
    <t>International</t>
  </si>
  <si>
    <t>y/y</t>
  </si>
  <si>
    <t>Discount</t>
  </si>
  <si>
    <t>Terminal</t>
  </si>
  <si>
    <t>NPV</t>
  </si>
  <si>
    <t>Upside</t>
  </si>
  <si>
    <t>FQ325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</si>
  <si>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</si>
  <si>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</si>
  <si>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</si>
  <si>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</si>
  <si>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</si>
  <si>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</si>
  <si>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</si>
  <si>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</si>
  <si>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</si>
  <si>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</si>
  <si>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</si>
  <si>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</si>
  <si>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</si>
  <si>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</si>
  <si>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</si>
  <si>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</si>
  <si>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</si>
  <si>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</si>
  <si>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</si>
  <si>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</si>
  <si>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</si>
  <si>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</si>
  <si>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</si>
  <si>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</si>
  <si>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</si>
  <si>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</si>
  <si>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FQ235</t>
  </si>
  <si>
    <t>FQ125</t>
  </si>
  <si>
    <t>FQ424</t>
  </si>
  <si>
    <t>FQ324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</si>
</sst>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0\x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64" fontId="0" fillId="0" borderId="0" xfId="0" applyNumberFormat="1"/>
    <xf numFmtId="3" fontId="0" fillId="0" borderId="0" xfId="0" applyNumberFormat="1" applyAlignment="1">
      <alignment horizontal="left"/>
    </xf>
    <xf numFmtId="0" fontId="2" fillId="0" borderId="0" xfId="0" applyFont="1"/>
    <xf numFmtId="0" fontId="1" fillId="0" borderId="0" xfId="0" applyFont="1"/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right"/>
    </xf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1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Border="1" applyAlignment="1">
      <alignment horizontal="left"/>
    </xf>
    <xf numFmtId="3" fontId="0" fillId="0" borderId="0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0</xdr:rowOff>
    </xdr:from>
    <xdr:to>
      <xdr:col>16</xdr:col>
      <xdr:colOff>9525</xdr:colOff>
      <xdr:row>87</xdr:row>
      <xdr:rowOff>142875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638BB36-A770-EA46-CC1E-1C7FC372017B}"/>
            </a:ext>
          </a:extLst>
        </xdr:cNvPr>
        <xdr:cNvCxnSpPr/>
      </xdr:nvCxnSpPr>
      <xdr:spPr>
        <a:xfrm>
          <a:off x="10267950" y="0"/>
          <a:ext cx="0" cy="142303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0</xdr:row>
      <xdr:rowOff>0</xdr:rowOff>
    </xdr:from>
    <xdr:to>
      <xdr:col>29</xdr:col>
      <xdr:colOff>38100</xdr:colOff>
      <xdr:row>85</xdr:row>
      <xdr:rowOff>66675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9BC7A8B-1591-46A5-B33E-6CDE9EFC3E59}"/>
            </a:ext>
          </a:extLst>
        </xdr:cNvPr>
        <xdr:cNvCxnSpPr/>
      </xdr:nvCxnSpPr>
      <xdr:spPr>
        <a:xfrm>
          <a:off x="18221325" y="0"/>
          <a:ext cx="0" cy="128587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B127-54E8-4441-97C4-EC48FD81BB82}">
  <dimension ref="B3:M25"/>
  <sheetViews>
    <sheetView workbookViewId="0">
      <selection activeCell="I16" sqref="I16"/>
    </sheetView>
  </sheetViews>
  <sheetFormatPr defaultRowHeight="12.75" x14ac:dyDescent="0.2"/>
  <cols>
    <col min="1" max="1" width="4" customWidth="1"/>
    <col min="2" max="2" width="13.140625" customWidth="1"/>
    <col min="12" max="12" width="9.140625" customWidth="1"/>
  </cols>
  <sheetData>
    <row r="3" spans="2:13" x14ac:dyDescent="0.2">
      <c r="K3" t="s">
        <v>16</v>
      </c>
      <c r="L3" s="21">
        <v>165.73</v>
      </c>
    </row>
    <row r="4" spans="2:13" x14ac:dyDescent="0.2">
      <c r="K4" t="s">
        <v>10</v>
      </c>
      <c r="L4" s="1">
        <f>+Model!P25</f>
        <v>2449.8000000000002</v>
      </c>
      <c r="M4" s="17" t="s">
        <v>106</v>
      </c>
    </row>
    <row r="5" spans="2:13" x14ac:dyDescent="0.2">
      <c r="K5" t="s">
        <v>17</v>
      </c>
      <c r="L5" s="1">
        <f>+L3*L4</f>
        <v>406005.35399999999</v>
      </c>
      <c r="M5" s="17"/>
    </row>
    <row r="6" spans="2:13" x14ac:dyDescent="0.2">
      <c r="K6" t="s">
        <v>18</v>
      </c>
      <c r="L6" s="1">
        <f>+Model!P35</f>
        <v>9116</v>
      </c>
      <c r="M6" s="17" t="s">
        <v>106</v>
      </c>
    </row>
    <row r="7" spans="2:13" x14ac:dyDescent="0.2">
      <c r="K7" t="s">
        <v>19</v>
      </c>
      <c r="L7" s="1">
        <f>+Model!P45</f>
        <v>34141</v>
      </c>
      <c r="M7" s="17" t="s">
        <v>106</v>
      </c>
    </row>
    <row r="8" spans="2:13" x14ac:dyDescent="0.2">
      <c r="K8" t="s">
        <v>20</v>
      </c>
      <c r="L8" s="1">
        <f>+L5-L6+L7</f>
        <v>431030.35399999999</v>
      </c>
    </row>
    <row r="9" spans="2:13" x14ac:dyDescent="0.2">
      <c r="L9" s="1">
        <v>15607</v>
      </c>
    </row>
    <row r="10" spans="2:13" x14ac:dyDescent="0.2">
      <c r="L10" s="13">
        <f>+L8/L9</f>
        <v>27.617758313577241</v>
      </c>
    </row>
    <row r="12" spans="2:13" x14ac:dyDescent="0.2">
      <c r="B12" s="14" t="s">
        <v>98</v>
      </c>
      <c r="C12" s="14" t="s">
        <v>97</v>
      </c>
      <c r="D12" s="15"/>
      <c r="E12" s="15"/>
      <c r="F12" s="15"/>
      <c r="G12" s="15"/>
      <c r="H12" s="15"/>
      <c r="I12" s="14" t="s">
        <v>85</v>
      </c>
      <c r="J12" s="15"/>
      <c r="K12" s="15"/>
      <c r="L12" s="15"/>
    </row>
    <row r="13" spans="2:13" x14ac:dyDescent="0.2">
      <c r="B13" s="10" t="s">
        <v>66</v>
      </c>
      <c r="C13" t="s">
        <v>74</v>
      </c>
      <c r="I13" t="s">
        <v>86</v>
      </c>
    </row>
    <row r="14" spans="2:13" x14ac:dyDescent="0.2">
      <c r="B14" s="10"/>
      <c r="C14" t="s">
        <v>75</v>
      </c>
      <c r="I14" t="s">
        <v>87</v>
      </c>
    </row>
    <row r="15" spans="2:13" x14ac:dyDescent="0.2">
      <c r="B15" s="10"/>
      <c r="C15" t="s">
        <v>76</v>
      </c>
      <c r="I15" t="s">
        <v>88</v>
      </c>
    </row>
    <row r="16" spans="2:13" x14ac:dyDescent="0.2">
      <c r="B16" s="10" t="s">
        <v>67</v>
      </c>
      <c r="C16" s="9" t="s">
        <v>73</v>
      </c>
      <c r="I16" t="s">
        <v>89</v>
      </c>
    </row>
    <row r="17" spans="2:9" x14ac:dyDescent="0.2">
      <c r="B17" s="10"/>
      <c r="C17" s="9" t="s">
        <v>72</v>
      </c>
    </row>
    <row r="18" spans="2:9" x14ac:dyDescent="0.2">
      <c r="B18" s="10" t="s">
        <v>68</v>
      </c>
      <c r="C18" t="s">
        <v>80</v>
      </c>
      <c r="I18" t="s">
        <v>90</v>
      </c>
    </row>
    <row r="19" spans="2:9" x14ac:dyDescent="0.2">
      <c r="B19" s="10"/>
      <c r="C19" t="s">
        <v>82</v>
      </c>
      <c r="I19" t="s">
        <v>91</v>
      </c>
    </row>
    <row r="20" spans="2:9" x14ac:dyDescent="0.2">
      <c r="B20" s="10"/>
      <c r="C20" s="9" t="s">
        <v>81</v>
      </c>
    </row>
    <row r="21" spans="2:9" x14ac:dyDescent="0.2">
      <c r="B21" s="10" t="s">
        <v>69</v>
      </c>
      <c r="C21" t="s">
        <v>83</v>
      </c>
      <c r="I21" t="s">
        <v>92</v>
      </c>
    </row>
    <row r="22" spans="2:9" x14ac:dyDescent="0.2">
      <c r="B22" s="10"/>
      <c r="C22" t="s">
        <v>84</v>
      </c>
      <c r="I22" t="s">
        <v>93</v>
      </c>
    </row>
    <row r="23" spans="2:9" x14ac:dyDescent="0.2">
      <c r="B23" s="10" t="s">
        <v>70</v>
      </c>
      <c r="C23" t="s">
        <v>77</v>
      </c>
      <c r="I23" t="s">
        <v>94</v>
      </c>
    </row>
    <row r="24" spans="2:9" x14ac:dyDescent="0.2">
      <c r="C24" t="s">
        <v>78</v>
      </c>
      <c r="I24" t="s">
        <v>95</v>
      </c>
    </row>
    <row r="25" spans="2:9" x14ac:dyDescent="0.2">
      <c r="C25" t="s">
        <v>79</v>
      </c>
      <c r="I25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6015-9C8F-4773-8B03-7414F45CA1E5}">
  <dimension ref="A1:EO82"/>
  <sheetViews>
    <sheetView tabSelected="1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T8" sqref="T8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45" s="7" customFormat="1" x14ac:dyDescent="0.2">
      <c r="B1" s="7">
        <v>44469</v>
      </c>
      <c r="C1" s="7">
        <v>44561</v>
      </c>
      <c r="D1" s="7">
        <v>44651</v>
      </c>
      <c r="E1" s="7">
        <v>44742</v>
      </c>
      <c r="F1" s="7">
        <v>44834</v>
      </c>
      <c r="G1" s="7">
        <v>44926</v>
      </c>
      <c r="H1" s="7">
        <v>45016</v>
      </c>
      <c r="I1" s="7">
        <v>45107</v>
      </c>
      <c r="J1" s="7">
        <v>45199</v>
      </c>
      <c r="K1" s="7">
        <v>45291</v>
      </c>
      <c r="L1" s="7">
        <v>45382</v>
      </c>
      <c r="M1" s="7">
        <v>45473</v>
      </c>
      <c r="N1" s="7">
        <v>45565</v>
      </c>
      <c r="O1" s="7">
        <v>45657</v>
      </c>
      <c r="P1" s="7">
        <v>45747</v>
      </c>
      <c r="AA1" s="7">
        <v>44742</v>
      </c>
      <c r="AB1" s="7">
        <v>45107</v>
      </c>
      <c r="AC1" s="7">
        <v>45473</v>
      </c>
    </row>
    <row r="2" spans="1:45" x14ac:dyDescent="0.2">
      <c r="A2" s="2"/>
      <c r="B2" s="2" t="s">
        <v>30</v>
      </c>
      <c r="C2" s="2" t="s">
        <v>29</v>
      </c>
      <c r="D2" s="2" t="s">
        <v>28</v>
      </c>
      <c r="E2" s="2" t="s">
        <v>27</v>
      </c>
      <c r="F2" s="2" t="s">
        <v>26</v>
      </c>
      <c r="G2" s="2" t="s">
        <v>25</v>
      </c>
      <c r="H2" s="2" t="s">
        <v>24</v>
      </c>
      <c r="I2" s="2" t="s">
        <v>23</v>
      </c>
      <c r="J2" s="2" t="s">
        <v>22</v>
      </c>
      <c r="K2" s="2" t="s">
        <v>21</v>
      </c>
      <c r="L2" s="2" t="s">
        <v>136</v>
      </c>
      <c r="M2" s="2" t="s">
        <v>135</v>
      </c>
      <c r="N2" s="2" t="s">
        <v>134</v>
      </c>
      <c r="O2" s="2" t="s">
        <v>133</v>
      </c>
      <c r="P2" s="2" t="s">
        <v>106</v>
      </c>
      <c r="Q2" s="2"/>
      <c r="S2" s="17" t="s">
        <v>107</v>
      </c>
      <c r="T2" s="17" t="s">
        <v>108</v>
      </c>
      <c r="U2" s="17" t="s">
        <v>109</v>
      </c>
      <c r="V2" s="17" t="s">
        <v>110</v>
      </c>
      <c r="W2" s="17" t="s">
        <v>111</v>
      </c>
      <c r="X2" s="17" t="s">
        <v>112</v>
      </c>
      <c r="Y2" s="17" t="s">
        <v>113</v>
      </c>
      <c r="Z2" s="17" t="s">
        <v>114</v>
      </c>
      <c r="AA2" s="17" t="s">
        <v>115</v>
      </c>
      <c r="AB2" s="17" t="s">
        <v>116</v>
      </c>
      <c r="AC2" s="17" t="s">
        <v>117</v>
      </c>
      <c r="AD2" s="17" t="s">
        <v>118</v>
      </c>
      <c r="AE2" s="17" t="s">
        <v>119</v>
      </c>
      <c r="AF2" s="17" t="s">
        <v>120</v>
      </c>
      <c r="AG2" s="17" t="s">
        <v>121</v>
      </c>
      <c r="AH2" s="17" t="s">
        <v>122</v>
      </c>
      <c r="AI2" s="17" t="s">
        <v>123</v>
      </c>
      <c r="AJ2" s="17" t="s">
        <v>124</v>
      </c>
      <c r="AK2" s="17" t="s">
        <v>125</v>
      </c>
      <c r="AL2" s="17" t="s">
        <v>126</v>
      </c>
      <c r="AM2" s="17" t="s">
        <v>127</v>
      </c>
      <c r="AN2" s="17" t="s">
        <v>128</v>
      </c>
      <c r="AO2" s="17" t="s">
        <v>129</v>
      </c>
      <c r="AP2" s="17" t="s">
        <v>130</v>
      </c>
      <c r="AQ2" s="17" t="s">
        <v>131</v>
      </c>
      <c r="AR2" s="17" t="s">
        <v>132</v>
      </c>
      <c r="AS2"/>
    </row>
    <row r="3" spans="1:45" x14ac:dyDescent="0.2">
      <c r="A3" s="8" t="s">
        <v>99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AA3" s="1">
        <v>36500</v>
      </c>
      <c r="AB3" s="1">
        <v>38700</v>
      </c>
      <c r="AC3" s="1">
        <v>40500</v>
      </c>
    </row>
    <row r="4" spans="1:45" s="3" customFormat="1" x14ac:dyDescent="0.2">
      <c r="A4" s="11" t="s">
        <v>101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AB4" s="3">
        <f>+AB3/AA3-1</f>
        <v>6.02739726027397E-2</v>
      </c>
      <c r="AC4" s="3">
        <f>+AC3/AB3-1</f>
        <v>4.6511627906976827E-2</v>
      </c>
    </row>
    <row r="5" spans="1:45" x14ac:dyDescent="0.2">
      <c r="A5" s="8" t="s">
        <v>100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AA5" s="1">
        <v>43700</v>
      </c>
      <c r="AB5" s="1">
        <v>43300</v>
      </c>
      <c r="AC5" s="1">
        <v>43500</v>
      </c>
    </row>
    <row r="6" spans="1:45" s="3" customFormat="1" x14ac:dyDescent="0.2">
      <c r="A6" s="11" t="s">
        <v>101</v>
      </c>
      <c r="AB6" s="3">
        <f>+AB5/AA5-1</f>
        <v>-9.1533180778031742E-3</v>
      </c>
      <c r="AC6" s="3">
        <f>+AC5/AB5-1</f>
        <v>4.6189376443417363E-3</v>
      </c>
    </row>
    <row r="7" spans="1:45" x14ac:dyDescent="0.2">
      <c r="A7" s="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45" x14ac:dyDescent="0.2">
      <c r="A8" s="8" t="s">
        <v>66</v>
      </c>
      <c r="B8" s="2"/>
      <c r="C8" s="2"/>
      <c r="D8" s="2"/>
      <c r="E8" s="2"/>
      <c r="F8" s="2">
        <v>3961</v>
      </c>
      <c r="G8" s="2">
        <v>3807</v>
      </c>
      <c r="H8" s="2">
        <v>3494</v>
      </c>
      <c r="I8" s="2">
        <f>+AB8-SUM(F8:H8)</f>
        <v>3746</v>
      </c>
      <c r="J8" s="2">
        <v>4097</v>
      </c>
      <c r="K8" s="2">
        <v>3849</v>
      </c>
      <c r="L8" s="2">
        <v>3550</v>
      </c>
      <c r="M8" s="2">
        <f>+AC8-SUM(J8:L8)</f>
        <v>3724</v>
      </c>
      <c r="N8" s="2">
        <v>3892</v>
      </c>
      <c r="O8" s="2">
        <v>3848</v>
      </c>
      <c r="P8" s="2">
        <v>3490</v>
      </c>
      <c r="Q8" s="20">
        <f>+P8/O8-1</f>
        <v>-9.3035343035342999E-2</v>
      </c>
      <c r="AA8" s="1">
        <v>14740</v>
      </c>
      <c r="AB8" s="1">
        <v>15008</v>
      </c>
      <c r="AC8" s="1">
        <v>15220</v>
      </c>
    </row>
    <row r="9" spans="1:45" x14ac:dyDescent="0.2">
      <c r="A9" s="18" t="s">
        <v>67</v>
      </c>
      <c r="B9" s="19"/>
      <c r="C9" s="19"/>
      <c r="D9" s="19"/>
      <c r="E9" s="19"/>
      <c r="F9" s="19">
        <v>1625</v>
      </c>
      <c r="G9" s="19">
        <v>1643</v>
      </c>
      <c r="H9" s="19">
        <v>1495</v>
      </c>
      <c r="I9" s="19">
        <f t="shared" ref="I9:I13" si="0">+AB9-SUM(F9:H9)</f>
        <v>1656</v>
      </c>
      <c r="J9" s="19">
        <v>1724</v>
      </c>
      <c r="K9" s="19">
        <v>1734</v>
      </c>
      <c r="L9" s="19">
        <v>1539</v>
      </c>
      <c r="M9" s="19">
        <f t="shared" ref="M9:M13" si="1">+AC9-SUM(J9:L9)</f>
        <v>1657</v>
      </c>
      <c r="N9" s="19">
        <v>1723</v>
      </c>
      <c r="O9" s="19">
        <v>1752</v>
      </c>
      <c r="P9" s="19">
        <v>1505</v>
      </c>
      <c r="Q9" s="20">
        <f>+P9/O9-1</f>
        <v>-0.14098173515981738</v>
      </c>
      <c r="AA9" s="1">
        <v>6587</v>
      </c>
      <c r="AB9" s="1">
        <v>6419</v>
      </c>
      <c r="AC9" s="1">
        <v>6654</v>
      </c>
    </row>
    <row r="10" spans="1:45" x14ac:dyDescent="0.2">
      <c r="A10" s="8" t="s">
        <v>68</v>
      </c>
      <c r="B10" s="2"/>
      <c r="C10" s="2"/>
      <c r="D10" s="2"/>
      <c r="E10" s="2"/>
      <c r="F10" s="2">
        <v>2757</v>
      </c>
      <c r="G10" s="2">
        <v>3051</v>
      </c>
      <c r="H10" s="2">
        <v>2828</v>
      </c>
      <c r="I10" s="2">
        <f t="shared" si="0"/>
        <v>2590</v>
      </c>
      <c r="J10" s="2">
        <v>3074</v>
      </c>
      <c r="K10" s="2">
        <v>3172</v>
      </c>
      <c r="L10" s="2">
        <v>2873</v>
      </c>
      <c r="M10" s="2">
        <f t="shared" si="1"/>
        <v>2674</v>
      </c>
      <c r="N10" s="2">
        <v>3147</v>
      </c>
      <c r="O10" s="2">
        <v>3249</v>
      </c>
      <c r="P10" s="2">
        <v>2880</v>
      </c>
      <c r="Q10" s="20">
        <f t="shared" ref="Q10:Q12" si="2">+P10/O10-1</f>
        <v>-0.11357340720221609</v>
      </c>
      <c r="AA10" s="1">
        <v>10824</v>
      </c>
      <c r="AB10" s="1">
        <v>11226</v>
      </c>
      <c r="AC10" s="1">
        <v>11793</v>
      </c>
    </row>
    <row r="11" spans="1:45" x14ac:dyDescent="0.2">
      <c r="A11" s="8" t="s">
        <v>69</v>
      </c>
      <c r="B11" s="2"/>
      <c r="C11" s="2"/>
      <c r="D11" s="2"/>
      <c r="E11" s="2"/>
      <c r="F11" s="2">
        <v>7082</v>
      </c>
      <c r="G11" s="2">
        <v>7032</v>
      </c>
      <c r="H11" s="2">
        <v>7016</v>
      </c>
      <c r="I11" s="2">
        <f t="shared" si="0"/>
        <v>7241</v>
      </c>
      <c r="J11" s="2">
        <v>7646</v>
      </c>
      <c r="K11" s="2">
        <v>7415</v>
      </c>
      <c r="L11" s="2">
        <v>7169</v>
      </c>
      <c r="M11" s="2">
        <f t="shared" si="1"/>
        <v>7265</v>
      </c>
      <c r="N11" s="2">
        <v>7710</v>
      </c>
      <c r="O11" s="2">
        <v>7575</v>
      </c>
      <c r="P11" s="2">
        <v>6948</v>
      </c>
      <c r="Q11" s="20">
        <f t="shared" si="2"/>
        <v>-8.2772277227722735E-2</v>
      </c>
      <c r="AA11" s="1">
        <v>27556</v>
      </c>
      <c r="AB11" s="1">
        <v>28371</v>
      </c>
      <c r="AC11" s="1">
        <v>29495</v>
      </c>
    </row>
    <row r="12" spans="1:45" x14ac:dyDescent="0.2">
      <c r="A12" s="8" t="s">
        <v>70</v>
      </c>
      <c r="B12" s="2"/>
      <c r="C12" s="2"/>
      <c r="D12" s="2"/>
      <c r="E12" s="2"/>
      <c r="F12" s="2">
        <v>4934</v>
      </c>
      <c r="G12" s="2">
        <v>5065</v>
      </c>
      <c r="H12" s="2">
        <v>5062</v>
      </c>
      <c r="I12" s="2">
        <f t="shared" si="0"/>
        <v>5156</v>
      </c>
      <c r="J12" s="2">
        <v>5186</v>
      </c>
      <c r="K12" s="2">
        <v>5146</v>
      </c>
      <c r="L12" s="2">
        <v>4936</v>
      </c>
      <c r="M12" s="2">
        <f t="shared" si="1"/>
        <v>5009</v>
      </c>
      <c r="N12" s="2">
        <v>5102</v>
      </c>
      <c r="O12" s="2">
        <v>5298</v>
      </c>
      <c r="P12" s="2">
        <v>4755</v>
      </c>
      <c r="Q12" s="20">
        <f t="shared" si="2"/>
        <v>-0.10249150622876557</v>
      </c>
      <c r="AA12" s="1">
        <v>19736</v>
      </c>
      <c r="AB12" s="1">
        <v>20217</v>
      </c>
      <c r="AC12" s="1">
        <v>20277</v>
      </c>
    </row>
    <row r="13" spans="1:45" x14ac:dyDescent="0.2">
      <c r="A13" s="8" t="s">
        <v>71</v>
      </c>
      <c r="B13" s="2"/>
      <c r="C13" s="2"/>
      <c r="D13" s="2"/>
      <c r="E13" s="2"/>
      <c r="F13" s="2">
        <v>253</v>
      </c>
      <c r="G13" s="2">
        <v>175</v>
      </c>
      <c r="H13" s="2">
        <v>173</v>
      </c>
      <c r="I13" s="2">
        <f t="shared" si="0"/>
        <v>164</v>
      </c>
      <c r="J13" s="2">
        <v>144</v>
      </c>
      <c r="K13" s="2">
        <v>126</v>
      </c>
      <c r="L13" s="2">
        <v>128</v>
      </c>
      <c r="M13" s="2">
        <f t="shared" si="1"/>
        <v>203</v>
      </c>
      <c r="N13" s="2">
        <v>163</v>
      </c>
      <c r="O13" s="2">
        <v>159</v>
      </c>
      <c r="P13" s="2">
        <v>198</v>
      </c>
      <c r="Q13" s="12"/>
      <c r="AA13" s="1">
        <v>744</v>
      </c>
      <c r="AB13" s="1">
        <v>765</v>
      </c>
      <c r="AC13" s="1">
        <v>601</v>
      </c>
    </row>
    <row r="14" spans="1:45" x14ac:dyDescent="0.2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45" s="5" customFormat="1" x14ac:dyDescent="0.2">
      <c r="A15" s="5" t="s">
        <v>0</v>
      </c>
      <c r="B15" s="5">
        <v>20338</v>
      </c>
      <c r="C15" s="5">
        <v>20953</v>
      </c>
      <c r="D15" s="5">
        <v>19381</v>
      </c>
      <c r="E15" s="5">
        <f>+AA15-SUM(B15:D15)</f>
        <v>19515</v>
      </c>
      <c r="F15" s="5">
        <v>20612</v>
      </c>
      <c r="G15" s="5">
        <v>20773</v>
      </c>
      <c r="H15" s="5">
        <v>20068</v>
      </c>
      <c r="I15" s="5">
        <f>+AB15-SUM(F15:H15)</f>
        <v>20553</v>
      </c>
      <c r="J15" s="5">
        <v>21871</v>
      </c>
      <c r="K15" s="5">
        <v>21441</v>
      </c>
      <c r="L15" s="5">
        <v>20195</v>
      </c>
      <c r="M15" s="5">
        <f>+AC15-SUM(J15:L15)</f>
        <v>20532</v>
      </c>
      <c r="N15" s="5">
        <v>21737</v>
      </c>
      <c r="O15" s="5">
        <v>21882</v>
      </c>
      <c r="P15" s="5">
        <f>+SUM(P8:P13)</f>
        <v>19776</v>
      </c>
      <c r="U15" s="5">
        <v>65299</v>
      </c>
      <c r="V15" s="5">
        <v>65058</v>
      </c>
      <c r="W15" s="5">
        <v>66832</v>
      </c>
      <c r="X15" s="5">
        <v>67684</v>
      </c>
      <c r="Y15" s="5">
        <v>70950</v>
      </c>
      <c r="Z15" s="5">
        <v>76118</v>
      </c>
      <c r="AA15" s="5">
        <v>80187</v>
      </c>
      <c r="AB15" s="5">
        <v>82006</v>
      </c>
      <c r="AC15" s="5">
        <v>84039</v>
      </c>
      <c r="AD15" s="5">
        <f>+AC15*1.02</f>
        <v>85719.78</v>
      </c>
      <c r="AE15" s="5">
        <f t="shared" ref="AE15:AR15" si="3">+AD15*1.02</f>
        <v>87434.175600000002</v>
      </c>
      <c r="AF15" s="5">
        <f t="shared" si="3"/>
        <v>89182.859112000006</v>
      </c>
      <c r="AG15" s="5">
        <f t="shared" si="3"/>
        <v>90966.516294240006</v>
      </c>
      <c r="AH15" s="5">
        <f t="shared" si="3"/>
        <v>92785.846620124808</v>
      </c>
      <c r="AI15" s="5">
        <f t="shared" si="3"/>
        <v>94641.56355252731</v>
      </c>
      <c r="AJ15" s="5">
        <f t="shared" si="3"/>
        <v>96534.394823577852</v>
      </c>
      <c r="AK15" s="5">
        <f t="shared" si="3"/>
        <v>98465.08272004941</v>
      </c>
      <c r="AL15" s="5">
        <f t="shared" si="3"/>
        <v>100434.3843744504</v>
      </c>
      <c r="AM15" s="5">
        <f t="shared" si="3"/>
        <v>102443.07206193941</v>
      </c>
      <c r="AN15" s="5">
        <f t="shared" si="3"/>
        <v>104491.9335031782</v>
      </c>
      <c r="AO15" s="5">
        <f t="shared" si="3"/>
        <v>106581.77217324176</v>
      </c>
      <c r="AP15" s="5">
        <f t="shared" si="3"/>
        <v>108713.40761670659</v>
      </c>
      <c r="AQ15" s="5">
        <f t="shared" si="3"/>
        <v>110887.67576904072</v>
      </c>
      <c r="AR15" s="5">
        <f t="shared" si="3"/>
        <v>113105.42928442154</v>
      </c>
    </row>
    <row r="16" spans="1:45" x14ac:dyDescent="0.2">
      <c r="A16" s="1" t="s">
        <v>1</v>
      </c>
      <c r="B16" s="1">
        <v>10365</v>
      </c>
      <c r="C16" s="1">
        <v>10664</v>
      </c>
      <c r="D16" s="1">
        <v>10326</v>
      </c>
      <c r="E16" s="1">
        <f>+AA16-SUM(B16:D16)</f>
        <v>10802</v>
      </c>
      <c r="F16" s="1">
        <v>10846</v>
      </c>
      <c r="G16" s="1">
        <v>10897</v>
      </c>
      <c r="H16" s="1">
        <v>10404</v>
      </c>
      <c r="I16" s="1">
        <f>+AB16-SUM(F16:H16)</f>
        <v>10613</v>
      </c>
      <c r="J16" s="1">
        <v>10501</v>
      </c>
      <c r="K16" s="1">
        <v>10144</v>
      </c>
      <c r="L16" s="1">
        <v>9855</v>
      </c>
      <c r="M16" s="1">
        <f>+AC16-SUM(J16:L16)</f>
        <v>10348</v>
      </c>
      <c r="N16" s="1">
        <v>10421</v>
      </c>
      <c r="O16" s="1">
        <v>10418</v>
      </c>
      <c r="P16" s="1">
        <v>9694</v>
      </c>
      <c r="U16" s="1">
        <v>32909</v>
      </c>
      <c r="V16" s="1">
        <v>32535</v>
      </c>
      <c r="W16" s="1">
        <v>34268</v>
      </c>
      <c r="X16" s="1">
        <v>34768</v>
      </c>
      <c r="Y16" s="1">
        <v>35250</v>
      </c>
      <c r="Z16" s="1">
        <v>37108</v>
      </c>
      <c r="AA16" s="1">
        <v>42157</v>
      </c>
      <c r="AB16" s="1">
        <v>42760</v>
      </c>
      <c r="AC16" s="1">
        <v>40848</v>
      </c>
      <c r="AD16" s="1">
        <f>+AC16*1.015</f>
        <v>41460.719999999994</v>
      </c>
      <c r="AE16" s="1">
        <f t="shared" ref="AE16:AR16" si="4">+AD16*1.015</f>
        <v>42082.630799999992</v>
      </c>
      <c r="AF16" s="1">
        <f t="shared" si="4"/>
        <v>42713.870261999989</v>
      </c>
      <c r="AG16" s="1">
        <f t="shared" si="4"/>
        <v>43354.578315929983</v>
      </c>
      <c r="AH16" s="1">
        <f t="shared" si="4"/>
        <v>44004.896990668931</v>
      </c>
      <c r="AI16" s="1">
        <f t="shared" si="4"/>
        <v>44664.970445528961</v>
      </c>
      <c r="AJ16" s="1">
        <f t="shared" si="4"/>
        <v>45334.945002211891</v>
      </c>
      <c r="AK16" s="1">
        <f t="shared" si="4"/>
        <v>46014.969177245068</v>
      </c>
      <c r="AL16" s="1">
        <f t="shared" si="4"/>
        <v>46705.19371490374</v>
      </c>
      <c r="AM16" s="1">
        <f t="shared" si="4"/>
        <v>47405.771620627289</v>
      </c>
      <c r="AN16" s="1">
        <f t="shared" si="4"/>
        <v>48116.858194936693</v>
      </c>
      <c r="AO16" s="1">
        <f t="shared" si="4"/>
        <v>48838.611067860737</v>
      </c>
      <c r="AP16" s="1">
        <f t="shared" si="4"/>
        <v>49571.190233878646</v>
      </c>
      <c r="AQ16" s="1">
        <f t="shared" si="4"/>
        <v>50314.758087386821</v>
      </c>
      <c r="AR16" s="1">
        <f t="shared" si="4"/>
        <v>51069.47945869762</v>
      </c>
    </row>
    <row r="17" spans="1:145" x14ac:dyDescent="0.2">
      <c r="A17" s="1" t="s">
        <v>2</v>
      </c>
      <c r="B17" s="1">
        <f t="shared" ref="B17:P17" si="5">+B15-B16</f>
        <v>9973</v>
      </c>
      <c r="C17" s="1">
        <f t="shared" si="5"/>
        <v>10289</v>
      </c>
      <c r="D17" s="1">
        <f t="shared" si="5"/>
        <v>9055</v>
      </c>
      <c r="E17" s="1">
        <f t="shared" si="5"/>
        <v>8713</v>
      </c>
      <c r="F17" s="1">
        <f t="shared" si="5"/>
        <v>9766</v>
      </c>
      <c r="G17" s="1">
        <f t="shared" si="5"/>
        <v>9876</v>
      </c>
      <c r="H17" s="1">
        <f t="shared" si="5"/>
        <v>9664</v>
      </c>
      <c r="I17" s="1">
        <f t="shared" si="5"/>
        <v>9940</v>
      </c>
      <c r="J17" s="1">
        <f t="shared" si="5"/>
        <v>11370</v>
      </c>
      <c r="K17" s="1">
        <f t="shared" si="5"/>
        <v>11297</v>
      </c>
      <c r="L17" s="1">
        <f t="shared" si="5"/>
        <v>10340</v>
      </c>
      <c r="M17" s="1">
        <f t="shared" si="5"/>
        <v>10184</v>
      </c>
      <c r="N17" s="1">
        <f t="shared" si="5"/>
        <v>11316</v>
      </c>
      <c r="O17" s="1">
        <f t="shared" si="5"/>
        <v>11464</v>
      </c>
      <c r="P17" s="1">
        <f t="shared" si="5"/>
        <v>10082</v>
      </c>
      <c r="U17" s="1">
        <f t="shared" ref="U17:AC17" si="6">+U15-U16</f>
        <v>32390</v>
      </c>
      <c r="V17" s="1">
        <f t="shared" si="6"/>
        <v>32523</v>
      </c>
      <c r="W17" s="1">
        <f t="shared" si="6"/>
        <v>32564</v>
      </c>
      <c r="X17" s="1">
        <f t="shared" si="6"/>
        <v>32916</v>
      </c>
      <c r="Y17" s="1">
        <f t="shared" si="6"/>
        <v>35700</v>
      </c>
      <c r="Z17" s="1">
        <f t="shared" si="6"/>
        <v>39010</v>
      </c>
      <c r="AA17" s="1">
        <f t="shared" si="6"/>
        <v>38030</v>
      </c>
      <c r="AB17" s="1">
        <f t="shared" si="6"/>
        <v>39246</v>
      </c>
      <c r="AC17" s="1">
        <f t="shared" si="6"/>
        <v>43191</v>
      </c>
      <c r="AD17" s="1">
        <f t="shared" ref="AD17:AR17" si="7">+AD15-AD16</f>
        <v>44259.060000000005</v>
      </c>
      <c r="AE17" s="1">
        <f t="shared" si="7"/>
        <v>45351.544800000011</v>
      </c>
      <c r="AF17" s="1">
        <f t="shared" si="7"/>
        <v>46468.988850000016</v>
      </c>
      <c r="AG17" s="1">
        <f t="shared" si="7"/>
        <v>47611.937978310023</v>
      </c>
      <c r="AH17" s="1">
        <f t="shared" si="7"/>
        <v>48780.949629455878</v>
      </c>
      <c r="AI17" s="1">
        <f t="shared" si="7"/>
        <v>49976.593106998349</v>
      </c>
      <c r="AJ17" s="1">
        <f t="shared" si="7"/>
        <v>51199.449821365961</v>
      </c>
      <c r="AK17" s="1">
        <f t="shared" si="7"/>
        <v>52450.113542804342</v>
      </c>
      <c r="AL17" s="1">
        <f t="shared" si="7"/>
        <v>53729.190659546657</v>
      </c>
      <c r="AM17" s="1">
        <f t="shared" si="7"/>
        <v>55037.300441312123</v>
      </c>
      <c r="AN17" s="1">
        <f t="shared" si="7"/>
        <v>56375.075308241503</v>
      </c>
      <c r="AO17" s="1">
        <f t="shared" si="7"/>
        <v>57743.161105381019</v>
      </c>
      <c r="AP17" s="1">
        <f t="shared" si="7"/>
        <v>59142.217382827948</v>
      </c>
      <c r="AQ17" s="1">
        <f t="shared" si="7"/>
        <v>60572.917681653904</v>
      </c>
      <c r="AR17" s="1">
        <f t="shared" si="7"/>
        <v>62035.949825723917</v>
      </c>
    </row>
    <row r="18" spans="1:145" x14ac:dyDescent="0.2">
      <c r="A18" s="1" t="s">
        <v>3</v>
      </c>
      <c r="B18" s="1">
        <v>4950</v>
      </c>
      <c r="C18" s="1">
        <v>5121</v>
      </c>
      <c r="D18" s="1">
        <v>5031</v>
      </c>
      <c r="E18" s="1">
        <f>+AA18-SUM(B18:D18)</f>
        <v>5115</v>
      </c>
      <c r="F18" s="1">
        <v>4827</v>
      </c>
      <c r="G18" s="1">
        <v>5091</v>
      </c>
      <c r="H18" s="1">
        <v>5416</v>
      </c>
      <c r="I18" s="1">
        <f>+AB18-SUM(F18:H18)</f>
        <v>5778</v>
      </c>
      <c r="J18" s="1">
        <v>5604</v>
      </c>
      <c r="K18" s="1">
        <v>5522</v>
      </c>
      <c r="L18" s="1">
        <v>5880</v>
      </c>
      <c r="M18" s="1">
        <f>+AC18-SUM(J18:L18)</f>
        <v>6299</v>
      </c>
      <c r="N18" s="1">
        <v>5519</v>
      </c>
      <c r="O18" s="1">
        <v>5723</v>
      </c>
      <c r="P18" s="1">
        <v>5524</v>
      </c>
      <c r="U18" s="1">
        <v>18949</v>
      </c>
      <c r="V18" s="1">
        <v>18568</v>
      </c>
      <c r="W18" s="1">
        <v>18853</v>
      </c>
      <c r="X18" s="1">
        <v>19084</v>
      </c>
      <c r="Y18" s="1">
        <v>19994</v>
      </c>
      <c r="Z18" s="1">
        <v>21024</v>
      </c>
      <c r="AA18" s="1">
        <v>20217</v>
      </c>
      <c r="AB18" s="1">
        <v>21112</v>
      </c>
      <c r="AC18" s="1">
        <v>23305</v>
      </c>
      <c r="AD18" s="1">
        <f>+AC18*1.02</f>
        <v>23771.100000000002</v>
      </c>
      <c r="AE18" s="1">
        <f t="shared" ref="AE18:AR18" si="8">+AD18*1.02</f>
        <v>24246.522000000001</v>
      </c>
      <c r="AF18" s="1">
        <f t="shared" si="8"/>
        <v>24731.452440000001</v>
      </c>
      <c r="AG18" s="1">
        <f t="shared" si="8"/>
        <v>25226.081488800002</v>
      </c>
      <c r="AH18" s="1">
        <f t="shared" si="8"/>
        <v>25730.603118576004</v>
      </c>
      <c r="AI18" s="1">
        <f t="shared" si="8"/>
        <v>26245.215180947525</v>
      </c>
      <c r="AJ18" s="1">
        <f t="shared" si="8"/>
        <v>26770.119484566476</v>
      </c>
      <c r="AK18" s="1">
        <f t="shared" si="8"/>
        <v>27305.521874257807</v>
      </c>
      <c r="AL18" s="1">
        <f t="shared" si="8"/>
        <v>27851.632311742964</v>
      </c>
      <c r="AM18" s="1">
        <f t="shared" si="8"/>
        <v>28408.664957977824</v>
      </c>
      <c r="AN18" s="1">
        <f t="shared" si="8"/>
        <v>28976.83825713738</v>
      </c>
      <c r="AO18" s="1">
        <f t="shared" si="8"/>
        <v>29556.375022280128</v>
      </c>
      <c r="AP18" s="1">
        <f t="shared" si="8"/>
        <v>30147.502522725732</v>
      </c>
      <c r="AQ18" s="1">
        <f t="shared" si="8"/>
        <v>30750.452573180246</v>
      </c>
      <c r="AR18" s="1">
        <f t="shared" si="8"/>
        <v>31365.461624643853</v>
      </c>
    </row>
    <row r="19" spans="1:145" s="5" customFormat="1" x14ac:dyDescent="0.2">
      <c r="A19" s="5" t="s">
        <v>4</v>
      </c>
      <c r="B19" s="5">
        <f t="shared" ref="B19:P19" si="9">+B17-B18</f>
        <v>5023</v>
      </c>
      <c r="C19" s="5">
        <f t="shared" si="9"/>
        <v>5168</v>
      </c>
      <c r="D19" s="5">
        <f t="shared" si="9"/>
        <v>4024</v>
      </c>
      <c r="E19" s="5">
        <f t="shared" si="9"/>
        <v>3598</v>
      </c>
      <c r="F19" s="5">
        <f t="shared" si="9"/>
        <v>4939</v>
      </c>
      <c r="G19" s="5">
        <f t="shared" si="9"/>
        <v>4785</v>
      </c>
      <c r="H19" s="5">
        <f t="shared" si="9"/>
        <v>4248</v>
      </c>
      <c r="I19" s="5">
        <f t="shared" si="9"/>
        <v>4162</v>
      </c>
      <c r="J19" s="5">
        <f t="shared" si="9"/>
        <v>5766</v>
      </c>
      <c r="K19" s="5">
        <f t="shared" si="9"/>
        <v>5775</v>
      </c>
      <c r="L19" s="5">
        <f t="shared" si="9"/>
        <v>4460</v>
      </c>
      <c r="M19" s="5">
        <f t="shared" si="9"/>
        <v>3885</v>
      </c>
      <c r="N19" s="5">
        <f t="shared" si="9"/>
        <v>5797</v>
      </c>
      <c r="O19" s="5">
        <f t="shared" si="9"/>
        <v>5741</v>
      </c>
      <c r="P19" s="5">
        <f t="shared" si="9"/>
        <v>4558</v>
      </c>
      <c r="U19" s="5">
        <f t="shared" ref="U19:AC19" si="10">+U17-U18</f>
        <v>13441</v>
      </c>
      <c r="V19" s="5">
        <f t="shared" si="10"/>
        <v>13955</v>
      </c>
      <c r="W19" s="5">
        <f t="shared" si="10"/>
        <v>13711</v>
      </c>
      <c r="X19" s="5">
        <f t="shared" si="10"/>
        <v>13832</v>
      </c>
      <c r="Y19" s="5">
        <f t="shared" si="10"/>
        <v>15706</v>
      </c>
      <c r="Z19" s="5">
        <f t="shared" si="10"/>
        <v>17986</v>
      </c>
      <c r="AA19" s="5">
        <f t="shared" si="10"/>
        <v>17813</v>
      </c>
      <c r="AB19" s="5">
        <f t="shared" si="10"/>
        <v>18134</v>
      </c>
      <c r="AC19" s="5">
        <f t="shared" si="10"/>
        <v>19886</v>
      </c>
      <c r="AD19" s="5">
        <f t="shared" ref="AD19:AR19" si="11">+AD17-AD18</f>
        <v>20487.960000000003</v>
      </c>
      <c r="AE19" s="5">
        <f t="shared" si="11"/>
        <v>21105.02280000001</v>
      </c>
      <c r="AF19" s="5">
        <f t="shared" si="11"/>
        <v>21737.536410000015</v>
      </c>
      <c r="AG19" s="5">
        <f t="shared" si="11"/>
        <v>22385.856489510021</v>
      </c>
      <c r="AH19" s="5">
        <f t="shared" si="11"/>
        <v>23050.346510879874</v>
      </c>
      <c r="AI19" s="5">
        <f t="shared" si="11"/>
        <v>23731.377926050824</v>
      </c>
      <c r="AJ19" s="5">
        <f t="shared" si="11"/>
        <v>24429.330336799485</v>
      </c>
      <c r="AK19" s="5">
        <f t="shared" si="11"/>
        <v>25144.591668546534</v>
      </c>
      <c r="AL19" s="5">
        <f t="shared" si="11"/>
        <v>25877.558347803693</v>
      </c>
      <c r="AM19" s="5">
        <f t="shared" si="11"/>
        <v>26628.635483334299</v>
      </c>
      <c r="AN19" s="5">
        <f t="shared" si="11"/>
        <v>27398.237051104123</v>
      </c>
      <c r="AO19" s="5">
        <f t="shared" si="11"/>
        <v>28186.786083100891</v>
      </c>
      <c r="AP19" s="5">
        <f t="shared" si="11"/>
        <v>28994.714860102216</v>
      </c>
      <c r="AQ19" s="5">
        <f t="shared" si="11"/>
        <v>29822.465108473658</v>
      </c>
      <c r="AR19" s="5">
        <f t="shared" si="11"/>
        <v>30670.488201080065</v>
      </c>
    </row>
    <row r="20" spans="1:145" x14ac:dyDescent="0.2">
      <c r="A20" s="1" t="s">
        <v>5</v>
      </c>
      <c r="B20" s="1">
        <f>109-11</f>
        <v>98</v>
      </c>
      <c r="C20" s="1">
        <f>106-10</f>
        <v>96</v>
      </c>
      <c r="D20" s="1">
        <f>109-9</f>
        <v>100</v>
      </c>
      <c r="E20" s="1">
        <f>+AA20-SUM(B20:D20)</f>
        <v>94</v>
      </c>
      <c r="F20" s="1">
        <f>123-42</f>
        <v>81</v>
      </c>
      <c r="G20" s="1">
        <f>171-66</f>
        <v>105</v>
      </c>
      <c r="H20" s="1">
        <f>222-83</f>
        <v>139</v>
      </c>
      <c r="I20" s="1">
        <f>+AB20-SUM(F20:H20)</f>
        <v>124</v>
      </c>
      <c r="J20" s="1">
        <f>225-128</f>
        <v>97</v>
      </c>
      <c r="K20" s="1">
        <f>248-133</f>
        <v>115</v>
      </c>
      <c r="L20" s="1">
        <f>233-104</f>
        <v>129</v>
      </c>
      <c r="M20" s="1">
        <f>+AC20-SUM(J20:L20)</f>
        <v>111</v>
      </c>
      <c r="N20" s="1">
        <f>238-135</f>
        <v>103</v>
      </c>
      <c r="O20" s="1">
        <f>240-119</f>
        <v>121</v>
      </c>
      <c r="P20" s="1">
        <f>217-111</f>
        <v>106</v>
      </c>
      <c r="U20" s="1">
        <f>-579-182</f>
        <v>-761</v>
      </c>
      <c r="V20" s="1">
        <f>-465-171</f>
        <v>-636</v>
      </c>
      <c r="W20" s="1">
        <f>-506-247</f>
        <v>-753</v>
      </c>
      <c r="X20" s="1">
        <f>509-220</f>
        <v>289</v>
      </c>
      <c r="Y20" s="1">
        <f>465-155</f>
        <v>310</v>
      </c>
      <c r="Z20" s="1">
        <f>502-45</f>
        <v>457</v>
      </c>
      <c r="AA20" s="1">
        <f>439-51</f>
        <v>388</v>
      </c>
      <c r="AB20" s="1">
        <f>756-307</f>
        <v>449</v>
      </c>
      <c r="AC20" s="1">
        <f>925-473</f>
        <v>452</v>
      </c>
      <c r="AD20" s="1">
        <f>+AC34*0.03</f>
        <v>-733.70999999999992</v>
      </c>
      <c r="AE20" s="1">
        <f t="shared" ref="AE20:AR20" si="12">+AD34*0.03</f>
        <v>-259.60799999999989</v>
      </c>
      <c r="AF20" s="1">
        <f t="shared" si="12"/>
        <v>240.68195520000029</v>
      </c>
      <c r="AG20" s="1">
        <f t="shared" si="12"/>
        <v>768.15919596480069</v>
      </c>
      <c r="AH20" s="1">
        <f t="shared" si="12"/>
        <v>1323.8555724161961</v>
      </c>
      <c r="AI20" s="1">
        <f t="shared" si="12"/>
        <v>1908.8364224153017</v>
      </c>
      <c r="AJ20" s="1">
        <f t="shared" si="12"/>
        <v>2524.2015667784885</v>
      </c>
      <c r="AK20" s="1">
        <f t="shared" si="12"/>
        <v>3171.0863324643597</v>
      </c>
      <c r="AL20" s="1">
        <f t="shared" si="12"/>
        <v>3850.6626044886211</v>
      </c>
      <c r="AM20" s="1">
        <f t="shared" si="12"/>
        <v>4564.1399073436369</v>
      </c>
      <c r="AN20" s="1">
        <f t="shared" si="12"/>
        <v>5312.7665167199075</v>
      </c>
      <c r="AO20" s="1">
        <f t="shared" si="12"/>
        <v>6097.8306023476844</v>
      </c>
      <c r="AP20" s="1">
        <f t="shared" si="12"/>
        <v>6920.6614027984497</v>
      </c>
      <c r="AQ20" s="1">
        <f t="shared" si="12"/>
        <v>7782.6304331080655</v>
      </c>
      <c r="AR20" s="1">
        <f t="shared" si="12"/>
        <v>8685.1527261060255</v>
      </c>
    </row>
    <row r="21" spans="1:145" x14ac:dyDescent="0.2">
      <c r="A21" s="1" t="s">
        <v>6</v>
      </c>
      <c r="B21" s="1">
        <f>+B19-B20</f>
        <v>4925</v>
      </c>
      <c r="C21" s="1">
        <f t="shared" ref="C21:F21" si="13">+C19-C20</f>
        <v>5072</v>
      </c>
      <c r="D21" s="1">
        <f t="shared" si="13"/>
        <v>3924</v>
      </c>
      <c r="E21" s="1">
        <f t="shared" si="13"/>
        <v>3504</v>
      </c>
      <c r="F21" s="1">
        <f t="shared" si="13"/>
        <v>4858</v>
      </c>
      <c r="G21" s="1">
        <f t="shared" ref="G21" si="14">+G19-G20</f>
        <v>4680</v>
      </c>
      <c r="H21" s="1">
        <f t="shared" ref="H21" si="15">+H19-H20</f>
        <v>4109</v>
      </c>
      <c r="I21" s="1">
        <f t="shared" ref="I21" si="16">+I19-I20</f>
        <v>4038</v>
      </c>
      <c r="J21" s="1">
        <f t="shared" ref="J21" si="17">+J19-J20</f>
        <v>5669</v>
      </c>
      <c r="K21" s="1">
        <f t="shared" ref="K21" si="18">+K19-K20</f>
        <v>5660</v>
      </c>
      <c r="L21" s="1">
        <f t="shared" ref="L21" si="19">+L19-L20</f>
        <v>4331</v>
      </c>
      <c r="M21" s="1">
        <f t="shared" ref="M21" si="20">+M19-M20</f>
        <v>3774</v>
      </c>
      <c r="N21" s="1">
        <f t="shared" ref="N21" si="21">+N19-N20</f>
        <v>5694</v>
      </c>
      <c r="O21" s="1">
        <f t="shared" ref="O21" si="22">+O19-O20</f>
        <v>5620</v>
      </c>
      <c r="P21" s="1">
        <f t="shared" ref="P21" si="23">+P19-P20</f>
        <v>4452</v>
      </c>
      <c r="U21" s="1">
        <f>+U19-U20</f>
        <v>14202</v>
      </c>
      <c r="V21" s="1">
        <f t="shared" ref="V21:AC21" si="24">+V19-V20</f>
        <v>14591</v>
      </c>
      <c r="W21" s="1">
        <f t="shared" si="24"/>
        <v>14464</v>
      </c>
      <c r="X21" s="1">
        <f t="shared" si="24"/>
        <v>13543</v>
      </c>
      <c r="Y21" s="1">
        <f t="shared" si="24"/>
        <v>15396</v>
      </c>
      <c r="Z21" s="1">
        <f t="shared" si="24"/>
        <v>17529</v>
      </c>
      <c r="AA21" s="1">
        <f t="shared" si="24"/>
        <v>17425</v>
      </c>
      <c r="AB21" s="1">
        <f t="shared" si="24"/>
        <v>17685</v>
      </c>
      <c r="AC21" s="1">
        <f t="shared" si="24"/>
        <v>19434</v>
      </c>
      <c r="AD21" s="1">
        <f t="shared" ref="AD21:AR21" si="25">+AD19+AD20</f>
        <v>19754.250000000004</v>
      </c>
      <c r="AE21" s="1">
        <f t="shared" si="25"/>
        <v>20845.41480000001</v>
      </c>
      <c r="AF21" s="1">
        <f t="shared" si="25"/>
        <v>21978.218365200017</v>
      </c>
      <c r="AG21" s="1">
        <f t="shared" si="25"/>
        <v>23154.01568547482</v>
      </c>
      <c r="AH21" s="1">
        <f t="shared" si="25"/>
        <v>24374.20208329607</v>
      </c>
      <c r="AI21" s="1">
        <f t="shared" si="25"/>
        <v>25640.214348466125</v>
      </c>
      <c r="AJ21" s="1">
        <f t="shared" si="25"/>
        <v>26953.531903577972</v>
      </c>
      <c r="AK21" s="1">
        <f t="shared" si="25"/>
        <v>28315.678001010892</v>
      </c>
      <c r="AL21" s="1">
        <f t="shared" si="25"/>
        <v>29728.220952292315</v>
      </c>
      <c r="AM21" s="1">
        <f t="shared" si="25"/>
        <v>31192.775390677936</v>
      </c>
      <c r="AN21" s="1">
        <f t="shared" si="25"/>
        <v>32711.003567824031</v>
      </c>
      <c r="AO21" s="1">
        <f t="shared" si="25"/>
        <v>34284.616685448578</v>
      </c>
      <c r="AP21" s="1">
        <f t="shared" si="25"/>
        <v>35915.376262900667</v>
      </c>
      <c r="AQ21" s="1">
        <f t="shared" si="25"/>
        <v>37605.095541581723</v>
      </c>
      <c r="AR21" s="1">
        <f t="shared" si="25"/>
        <v>39355.64092718609</v>
      </c>
    </row>
    <row r="22" spans="1:145" x14ac:dyDescent="0.2">
      <c r="A22" s="1" t="s">
        <v>7</v>
      </c>
      <c r="B22" s="1">
        <v>909</v>
      </c>
      <c r="C22" s="1">
        <v>997</v>
      </c>
      <c r="D22" s="1">
        <v>704</v>
      </c>
      <c r="E22" s="1">
        <f>+AA22-SUM(B22:D22)</f>
        <v>592</v>
      </c>
      <c r="F22" s="1">
        <v>1034</v>
      </c>
      <c r="G22" s="1">
        <v>876</v>
      </c>
      <c r="H22" s="1">
        <v>864</v>
      </c>
      <c r="I22" s="1">
        <f>+AB22-SUM(F22:H22)</f>
        <v>841</v>
      </c>
      <c r="J22" s="1">
        <v>1246</v>
      </c>
      <c r="K22" s="1">
        <v>1003</v>
      </c>
      <c r="L22" s="1">
        <v>812</v>
      </c>
      <c r="M22" s="1">
        <f>+AC22-SUM(J22:L22)</f>
        <v>726</v>
      </c>
      <c r="N22" s="1">
        <v>1152</v>
      </c>
      <c r="O22" s="1">
        <v>1187</v>
      </c>
      <c r="P22" s="1">
        <v>868</v>
      </c>
      <c r="U22" s="1">
        <v>3342</v>
      </c>
      <c r="V22" s="1">
        <v>3063</v>
      </c>
      <c r="W22" s="1">
        <v>3465</v>
      </c>
      <c r="X22" s="1">
        <v>2103</v>
      </c>
      <c r="Y22" s="1">
        <v>2731</v>
      </c>
      <c r="Z22" s="1">
        <v>3263</v>
      </c>
      <c r="AA22" s="1">
        <v>3202</v>
      </c>
      <c r="AB22" s="1">
        <v>3615</v>
      </c>
      <c r="AC22" s="1">
        <v>3787</v>
      </c>
      <c r="AD22" s="1">
        <f>+AD21*0.2</f>
        <v>3950.8500000000008</v>
      </c>
      <c r="AE22" s="1">
        <f t="shared" ref="AE22:AR22" si="26">+AE21*0.2</f>
        <v>4169.0829600000025</v>
      </c>
      <c r="AF22" s="1">
        <f t="shared" si="26"/>
        <v>4395.6436730400037</v>
      </c>
      <c r="AG22" s="1">
        <f t="shared" si="26"/>
        <v>4630.8031370949639</v>
      </c>
      <c r="AH22" s="1">
        <f t="shared" si="26"/>
        <v>4874.8404166592145</v>
      </c>
      <c r="AI22" s="1">
        <f t="shared" si="26"/>
        <v>5128.0428696932249</v>
      </c>
      <c r="AJ22" s="1">
        <f t="shared" si="26"/>
        <v>5390.7063807155946</v>
      </c>
      <c r="AK22" s="1">
        <f t="shared" si="26"/>
        <v>5663.1356002021785</v>
      </c>
      <c r="AL22" s="1">
        <f t="shared" si="26"/>
        <v>5945.6441904584635</v>
      </c>
      <c r="AM22" s="1">
        <f t="shared" si="26"/>
        <v>6238.5550781355878</v>
      </c>
      <c r="AN22" s="1">
        <f t="shared" si="26"/>
        <v>6542.2007135648064</v>
      </c>
      <c r="AO22" s="1">
        <f t="shared" si="26"/>
        <v>6856.9233370897164</v>
      </c>
      <c r="AP22" s="1">
        <f t="shared" si="26"/>
        <v>7183.0752525801336</v>
      </c>
      <c r="AQ22" s="1">
        <f t="shared" si="26"/>
        <v>7521.0191083163445</v>
      </c>
      <c r="AR22" s="1">
        <f t="shared" si="26"/>
        <v>7871.1281854372182</v>
      </c>
    </row>
    <row r="23" spans="1:145" s="5" customFormat="1" x14ac:dyDescent="0.2">
      <c r="A23" s="5" t="s">
        <v>8</v>
      </c>
      <c r="B23" s="5">
        <f t="shared" ref="B23:P23" si="27">+B21-B22</f>
        <v>4016</v>
      </c>
      <c r="C23" s="5">
        <f t="shared" si="27"/>
        <v>4075</v>
      </c>
      <c r="D23" s="5">
        <f t="shared" si="27"/>
        <v>3220</v>
      </c>
      <c r="E23" s="5">
        <f t="shared" si="27"/>
        <v>2912</v>
      </c>
      <c r="F23" s="5">
        <f t="shared" si="27"/>
        <v>3824</v>
      </c>
      <c r="G23" s="5">
        <f t="shared" si="27"/>
        <v>3804</v>
      </c>
      <c r="H23" s="5">
        <f t="shared" si="27"/>
        <v>3245</v>
      </c>
      <c r="I23" s="5">
        <f t="shared" si="27"/>
        <v>3197</v>
      </c>
      <c r="J23" s="5">
        <f t="shared" si="27"/>
        <v>4423</v>
      </c>
      <c r="K23" s="5">
        <f t="shared" si="27"/>
        <v>4657</v>
      </c>
      <c r="L23" s="5">
        <f t="shared" si="27"/>
        <v>3519</v>
      </c>
      <c r="M23" s="5">
        <f t="shared" si="27"/>
        <v>3048</v>
      </c>
      <c r="N23" s="5">
        <f t="shared" si="27"/>
        <v>4542</v>
      </c>
      <c r="O23" s="5">
        <f t="shared" si="27"/>
        <v>4433</v>
      </c>
      <c r="P23" s="5">
        <f t="shared" si="27"/>
        <v>3584</v>
      </c>
      <c r="U23" s="5">
        <f t="shared" ref="U23:AC23" si="28">+U21-U22</f>
        <v>10860</v>
      </c>
      <c r="V23" s="5">
        <f t="shared" si="28"/>
        <v>11528</v>
      </c>
      <c r="W23" s="5">
        <f t="shared" si="28"/>
        <v>10999</v>
      </c>
      <c r="X23" s="5">
        <f t="shared" si="28"/>
        <v>11440</v>
      </c>
      <c r="Y23" s="5">
        <f t="shared" si="28"/>
        <v>12665</v>
      </c>
      <c r="Z23" s="5">
        <f t="shared" si="28"/>
        <v>14266</v>
      </c>
      <c r="AA23" s="5">
        <f t="shared" si="28"/>
        <v>14223</v>
      </c>
      <c r="AB23" s="5">
        <f t="shared" si="28"/>
        <v>14070</v>
      </c>
      <c r="AC23" s="5">
        <f t="shared" si="28"/>
        <v>15647</v>
      </c>
      <c r="AD23" s="5">
        <f t="shared" ref="AD23:AR23" si="29">+AD21-AD22</f>
        <v>15803.400000000003</v>
      </c>
      <c r="AE23" s="5">
        <f t="shared" si="29"/>
        <v>16676.331840000006</v>
      </c>
      <c r="AF23" s="5">
        <f t="shared" si="29"/>
        <v>17582.574692160015</v>
      </c>
      <c r="AG23" s="5">
        <f t="shared" si="29"/>
        <v>18523.212548379855</v>
      </c>
      <c r="AH23" s="5">
        <f t="shared" si="29"/>
        <v>19499.361666636854</v>
      </c>
      <c r="AI23" s="5">
        <f t="shared" si="29"/>
        <v>20512.1714787729</v>
      </c>
      <c r="AJ23" s="5">
        <f t="shared" si="29"/>
        <v>21562.825522862378</v>
      </c>
      <c r="AK23" s="5">
        <f t="shared" si="29"/>
        <v>22652.542400808714</v>
      </c>
      <c r="AL23" s="5">
        <f t="shared" si="29"/>
        <v>23782.57676183385</v>
      </c>
      <c r="AM23" s="5">
        <f t="shared" si="29"/>
        <v>24954.220312542348</v>
      </c>
      <c r="AN23" s="5">
        <f t="shared" si="29"/>
        <v>26168.802854259226</v>
      </c>
      <c r="AO23" s="5">
        <f t="shared" si="29"/>
        <v>27427.693348358862</v>
      </c>
      <c r="AP23" s="5">
        <f t="shared" si="29"/>
        <v>28732.301010320534</v>
      </c>
      <c r="AQ23" s="5">
        <f t="shared" si="29"/>
        <v>30084.076433265378</v>
      </c>
      <c r="AR23" s="5">
        <f t="shared" si="29"/>
        <v>31484.512741748873</v>
      </c>
      <c r="AS23" s="5">
        <f>+AR23*(1+$AU$28)</f>
        <v>31169.667614331385</v>
      </c>
      <c r="AT23" s="5">
        <f t="shared" ref="AT23:DE23" si="30">+AS23*(1+$AU$28)</f>
        <v>30857.970938188071</v>
      </c>
      <c r="AU23" s="5">
        <f t="shared" si="30"/>
        <v>30549.391228806191</v>
      </c>
      <c r="AV23" s="5">
        <f t="shared" si="30"/>
        <v>30243.897316518131</v>
      </c>
      <c r="AW23" s="5">
        <f t="shared" si="30"/>
        <v>29941.458343352948</v>
      </c>
      <c r="AX23" s="5">
        <f t="shared" si="30"/>
        <v>29642.043759919419</v>
      </c>
      <c r="AY23" s="5">
        <f t="shared" si="30"/>
        <v>29345.623322320225</v>
      </c>
      <c r="AZ23" s="5">
        <f t="shared" si="30"/>
        <v>29052.167089097024</v>
      </c>
      <c r="BA23" s="5">
        <f t="shared" si="30"/>
        <v>28761.645418206052</v>
      </c>
      <c r="BB23" s="5">
        <f t="shared" si="30"/>
        <v>28474.02896402399</v>
      </c>
      <c r="BC23" s="5">
        <f t="shared" si="30"/>
        <v>28189.288674383748</v>
      </c>
      <c r="BD23" s="5">
        <f t="shared" si="30"/>
        <v>27907.395787639911</v>
      </c>
      <c r="BE23" s="5">
        <f t="shared" si="30"/>
        <v>27628.32182976351</v>
      </c>
      <c r="BF23" s="5">
        <f t="shared" si="30"/>
        <v>27352.038611465876</v>
      </c>
      <c r="BG23" s="5">
        <f t="shared" si="30"/>
        <v>27078.518225351218</v>
      </c>
      <c r="BH23" s="5">
        <f t="shared" si="30"/>
        <v>26807.733043097705</v>
      </c>
      <c r="BI23" s="5">
        <f t="shared" si="30"/>
        <v>26539.655712666729</v>
      </c>
      <c r="BJ23" s="5">
        <f t="shared" si="30"/>
        <v>26274.259155540061</v>
      </c>
      <c r="BK23" s="5">
        <f t="shared" si="30"/>
        <v>26011.51656398466</v>
      </c>
      <c r="BL23" s="5">
        <f t="shared" si="30"/>
        <v>25751.401398344813</v>
      </c>
      <c r="BM23" s="5">
        <f t="shared" si="30"/>
        <v>25493.887384361366</v>
      </c>
      <c r="BN23" s="5">
        <f t="shared" si="30"/>
        <v>25238.948510517752</v>
      </c>
      <c r="BO23" s="5">
        <f t="shared" si="30"/>
        <v>24986.559025412575</v>
      </c>
      <c r="BP23" s="5">
        <f t="shared" si="30"/>
        <v>24736.69343515845</v>
      </c>
      <c r="BQ23" s="5">
        <f t="shared" si="30"/>
        <v>24489.326500806867</v>
      </c>
      <c r="BR23" s="5">
        <f t="shared" si="30"/>
        <v>24244.433235798799</v>
      </c>
      <c r="BS23" s="5">
        <f t="shared" si="30"/>
        <v>24001.988903440812</v>
      </c>
      <c r="BT23" s="5">
        <f t="shared" si="30"/>
        <v>23761.969014406404</v>
      </c>
      <c r="BU23" s="5">
        <f t="shared" si="30"/>
        <v>23524.349324262341</v>
      </c>
      <c r="BV23" s="5">
        <f t="shared" si="30"/>
        <v>23289.105831019719</v>
      </c>
      <c r="BW23" s="5">
        <f t="shared" si="30"/>
        <v>23056.214772709522</v>
      </c>
      <c r="BX23" s="5">
        <f t="shared" si="30"/>
        <v>22825.652624982427</v>
      </c>
      <c r="BY23" s="5">
        <f t="shared" si="30"/>
        <v>22597.396098732603</v>
      </c>
      <c r="BZ23" s="5">
        <f t="shared" si="30"/>
        <v>22371.422137745278</v>
      </c>
      <c r="CA23" s="5">
        <f t="shared" si="30"/>
        <v>22147.707916367825</v>
      </c>
      <c r="CB23" s="5">
        <f t="shared" si="30"/>
        <v>21926.230837204144</v>
      </c>
      <c r="CC23" s="5">
        <f t="shared" si="30"/>
        <v>21706.968528832102</v>
      </c>
      <c r="CD23" s="5">
        <f t="shared" si="30"/>
        <v>21489.898843543779</v>
      </c>
      <c r="CE23" s="5">
        <f t="shared" si="30"/>
        <v>21274.999855108341</v>
      </c>
      <c r="CF23" s="5">
        <f t="shared" si="30"/>
        <v>21062.249856557257</v>
      </c>
      <c r="CG23" s="5">
        <f t="shared" si="30"/>
        <v>20851.627357991685</v>
      </c>
      <c r="CH23" s="5">
        <f t="shared" si="30"/>
        <v>20643.111084411768</v>
      </c>
      <c r="CI23" s="5">
        <f t="shared" si="30"/>
        <v>20436.67997356765</v>
      </c>
      <c r="CJ23" s="5">
        <f t="shared" si="30"/>
        <v>20232.313173831975</v>
      </c>
      <c r="CK23" s="5">
        <f t="shared" si="30"/>
        <v>20029.990042093654</v>
      </c>
      <c r="CL23" s="5">
        <f t="shared" si="30"/>
        <v>19829.690141672716</v>
      </c>
      <c r="CM23" s="5">
        <f t="shared" si="30"/>
        <v>19631.393240255988</v>
      </c>
      <c r="CN23" s="5">
        <f t="shared" si="30"/>
        <v>19435.079307853426</v>
      </c>
      <c r="CO23" s="5">
        <f t="shared" si="30"/>
        <v>19240.728514774892</v>
      </c>
      <c r="CP23" s="5">
        <f t="shared" si="30"/>
        <v>19048.321229627141</v>
      </c>
      <c r="CQ23" s="5">
        <f t="shared" si="30"/>
        <v>18857.838017330869</v>
      </c>
      <c r="CR23" s="5">
        <f t="shared" si="30"/>
        <v>18669.25963715756</v>
      </c>
      <c r="CS23" s="5">
        <f t="shared" si="30"/>
        <v>18482.567040785983</v>
      </c>
      <c r="CT23" s="5">
        <f t="shared" si="30"/>
        <v>18297.741370378124</v>
      </c>
      <c r="CU23" s="5">
        <f t="shared" si="30"/>
        <v>18114.763956674342</v>
      </c>
      <c r="CV23" s="5">
        <f t="shared" si="30"/>
        <v>17933.616317107597</v>
      </c>
      <c r="CW23" s="5">
        <f t="shared" si="30"/>
        <v>17754.280153936521</v>
      </c>
      <c r="CX23" s="5">
        <f t="shared" si="30"/>
        <v>17576.737352397155</v>
      </c>
      <c r="CY23" s="5">
        <f t="shared" si="30"/>
        <v>17400.969978873181</v>
      </c>
      <c r="CZ23" s="5">
        <f t="shared" si="30"/>
        <v>17226.960279084451</v>
      </c>
      <c r="DA23" s="5">
        <f t="shared" si="30"/>
        <v>17054.690676293605</v>
      </c>
      <c r="DB23" s="5">
        <f t="shared" si="30"/>
        <v>16884.14376953067</v>
      </c>
      <c r="DC23" s="5">
        <f t="shared" si="30"/>
        <v>16715.302331835363</v>
      </c>
      <c r="DD23" s="5">
        <f t="shared" si="30"/>
        <v>16548.149308517008</v>
      </c>
      <c r="DE23" s="5">
        <f t="shared" si="30"/>
        <v>16382.667815431838</v>
      </c>
      <c r="DF23" s="5">
        <f t="shared" ref="DF23:EO23" si="31">+DE23*(1+$AU$28)</f>
        <v>16218.841137277519</v>
      </c>
      <c r="DG23" s="5">
        <f t="shared" si="31"/>
        <v>16056.652725904743</v>
      </c>
      <c r="DH23" s="5">
        <f t="shared" si="31"/>
        <v>15896.086198645697</v>
      </c>
      <c r="DI23" s="5">
        <f t="shared" si="31"/>
        <v>15737.125336659239</v>
      </c>
      <c r="DJ23" s="5">
        <f t="shared" si="31"/>
        <v>15579.754083292646</v>
      </c>
      <c r="DK23" s="5">
        <f t="shared" si="31"/>
        <v>15423.95654245972</v>
      </c>
      <c r="DL23" s="5">
        <f t="shared" si="31"/>
        <v>15269.716977035123</v>
      </c>
      <c r="DM23" s="5">
        <f t="shared" si="31"/>
        <v>15117.019807264771</v>
      </c>
      <c r="DN23" s="5">
        <f t="shared" si="31"/>
        <v>14965.849609192122</v>
      </c>
      <c r="DO23" s="5">
        <f t="shared" si="31"/>
        <v>14816.191113100202</v>
      </c>
      <c r="DP23" s="5">
        <f t="shared" si="31"/>
        <v>14668.029201969199</v>
      </c>
      <c r="DQ23" s="5">
        <f t="shared" si="31"/>
        <v>14521.348909949507</v>
      </c>
      <c r="DR23" s="5">
        <f t="shared" si="31"/>
        <v>14376.135420850012</v>
      </c>
      <c r="DS23" s="5">
        <f t="shared" si="31"/>
        <v>14232.374066641512</v>
      </c>
      <c r="DT23" s="5">
        <f t="shared" si="31"/>
        <v>14090.050325975097</v>
      </c>
      <c r="DU23" s="5">
        <f t="shared" si="31"/>
        <v>13949.149822715346</v>
      </c>
      <c r="DV23" s="5">
        <f t="shared" si="31"/>
        <v>13809.658324488193</v>
      </c>
      <c r="DW23" s="5">
        <f t="shared" si="31"/>
        <v>13671.561741243311</v>
      </c>
      <c r="DX23" s="5">
        <f t="shared" si="31"/>
        <v>13534.846123830877</v>
      </c>
      <c r="DY23" s="5">
        <f t="shared" si="31"/>
        <v>13399.497662592568</v>
      </c>
      <c r="DZ23" s="5">
        <f t="shared" si="31"/>
        <v>13265.502685966643</v>
      </c>
      <c r="EA23" s="5">
        <f t="shared" si="31"/>
        <v>13132.847659106978</v>
      </c>
      <c r="EB23" s="5">
        <f t="shared" si="31"/>
        <v>13001.519182515907</v>
      </c>
      <c r="EC23" s="5">
        <f t="shared" si="31"/>
        <v>12871.503990690748</v>
      </c>
      <c r="ED23" s="5">
        <f t="shared" si="31"/>
        <v>12742.788950783841</v>
      </c>
      <c r="EE23" s="5">
        <f t="shared" si="31"/>
        <v>12615.361061276002</v>
      </c>
      <c r="EF23" s="5">
        <f t="shared" si="31"/>
        <v>12489.207450663242</v>
      </c>
      <c r="EG23" s="5">
        <f t="shared" si="31"/>
        <v>12364.315376156608</v>
      </c>
      <c r="EH23" s="5">
        <f t="shared" si="31"/>
        <v>12240.672222395042</v>
      </c>
      <c r="EI23" s="5">
        <f t="shared" si="31"/>
        <v>12118.265500171092</v>
      </c>
      <c r="EJ23" s="5">
        <f t="shared" si="31"/>
        <v>11997.082845169381</v>
      </c>
      <c r="EK23" s="5">
        <f t="shared" si="31"/>
        <v>11877.112016717687</v>
      </c>
      <c r="EL23" s="5">
        <f t="shared" si="31"/>
        <v>11758.34089655051</v>
      </c>
      <c r="EM23" s="5">
        <f t="shared" si="31"/>
        <v>11640.757487585004</v>
      </c>
      <c r="EN23" s="5">
        <f t="shared" si="31"/>
        <v>11524.349912709155</v>
      </c>
      <c r="EO23" s="5">
        <f t="shared" si="31"/>
        <v>11409.106413582063</v>
      </c>
    </row>
    <row r="24" spans="1:145" s="4" customFormat="1" x14ac:dyDescent="0.2">
      <c r="A24" s="4" t="s">
        <v>9</v>
      </c>
      <c r="B24" s="4">
        <f t="shared" ref="B24:P24" si="32">+B23/B25</f>
        <v>1.5694243620305599</v>
      </c>
      <c r="C24" s="4">
        <f t="shared" si="32"/>
        <v>1.6016822576841445</v>
      </c>
      <c r="D24" s="4">
        <f t="shared" si="32"/>
        <v>1.2726266698284721</v>
      </c>
      <c r="E24" s="4">
        <f t="shared" si="32"/>
        <v>1.1541357853434271</v>
      </c>
      <c r="F24" s="4">
        <f t="shared" si="32"/>
        <v>1.5274005432177664</v>
      </c>
      <c r="G24" s="4">
        <f t="shared" si="32"/>
        <v>1.5331291310656134</v>
      </c>
      <c r="H24" s="4">
        <f t="shared" si="32"/>
        <v>1.3120653404496201</v>
      </c>
      <c r="I24" s="4">
        <f t="shared" si="32"/>
        <v>1.290361640297061</v>
      </c>
      <c r="J24" s="4">
        <f t="shared" si="32"/>
        <v>1.7869263089851326</v>
      </c>
      <c r="K24" s="4">
        <f t="shared" si="32"/>
        <v>1.8866472208718197</v>
      </c>
      <c r="L24" s="4">
        <f t="shared" si="32"/>
        <v>1.4235436893203883</v>
      </c>
      <c r="M24" s="4">
        <f t="shared" si="32"/>
        <v>1.233009708737864</v>
      </c>
      <c r="N24" s="4">
        <f t="shared" si="32"/>
        <v>1.8418491484184916</v>
      </c>
      <c r="O24" s="4">
        <f t="shared" si="32"/>
        <v>1.8034254098694114</v>
      </c>
      <c r="P24" s="4">
        <f t="shared" si="32"/>
        <v>1.4629765695158787</v>
      </c>
      <c r="U24" s="4">
        <f t="shared" ref="U24:AC24" si="33">+U23/U25</f>
        <v>3.8180284066938546</v>
      </c>
      <c r="V24" s="4">
        <f t="shared" si="33"/>
        <v>4.2066851554517584</v>
      </c>
      <c r="W24" s="4">
        <f t="shared" si="33"/>
        <v>4.1400986185869693</v>
      </c>
      <c r="X24" s="4">
        <f t="shared" si="33"/>
        <v>4.5048237842094903</v>
      </c>
      <c r="Y24" s="4">
        <f t="shared" si="33"/>
        <v>4.8232919491202679</v>
      </c>
      <c r="Z24" s="4">
        <f t="shared" si="33"/>
        <v>5.4848135332564398</v>
      </c>
      <c r="AA24" s="4">
        <f t="shared" si="33"/>
        <v>5.6015911149619946</v>
      </c>
      <c r="AB24" s="4">
        <f t="shared" si="33"/>
        <v>5.6644792463464713</v>
      </c>
      <c r="AC24" s="4">
        <f t="shared" si="33"/>
        <v>6.329948622517092</v>
      </c>
      <c r="AD24" s="4">
        <f t="shared" ref="AD24:AR24" si="34">+AD23/AD25</f>
        <v>6.5236936637189782</v>
      </c>
      <c r="AE24" s="4">
        <f t="shared" si="34"/>
        <v>7.0245333643446823</v>
      </c>
      <c r="AF24" s="4">
        <f t="shared" si="34"/>
        <v>7.5574163076958589</v>
      </c>
      <c r="AG24" s="4">
        <f t="shared" si="34"/>
        <v>8.124209421217607</v>
      </c>
      <c r="AH24" s="4">
        <f t="shared" si="34"/>
        <v>8.7268822970681263</v>
      </c>
      <c r="AI24" s="4">
        <f t="shared" si="34"/>
        <v>9.3675126193849785</v>
      </c>
      <c r="AJ24" s="4">
        <f t="shared" si="34"/>
        <v>10.048291870344952</v>
      </c>
      <c r="AK24" s="4">
        <f t="shared" si="34"/>
        <v>10.771531329030431</v>
      </c>
      <c r="AL24" s="4">
        <f t="shared" si="34"/>
        <v>11.539668377807484</v>
      </c>
      <c r="AM24" s="4">
        <f t="shared" si="34"/>
        <v>12.35527313164719</v>
      </c>
      <c r="AN24" s="4">
        <f t="shared" si="34"/>
        <v>13.221055406583163</v>
      </c>
      <c r="AO24" s="4">
        <f t="shared" si="34"/>
        <v>14.139872044296947</v>
      </c>
      <c r="AP24" s="4">
        <f t="shared" si="34"/>
        <v>15.114734610660285</v>
      </c>
      <c r="AQ24" s="4">
        <f t="shared" si="34"/>
        <v>16.148817486941681</v>
      </c>
      <c r="AR24" s="4">
        <f t="shared" si="34"/>
        <v>17.245466373305447</v>
      </c>
    </row>
    <row r="25" spans="1:145" x14ac:dyDescent="0.2">
      <c r="A25" s="1" t="s">
        <v>10</v>
      </c>
      <c r="B25" s="1">
        <v>2558.9</v>
      </c>
      <c r="C25" s="1">
        <v>2544.1999999999998</v>
      </c>
      <c r="D25" s="1">
        <v>2530.1999999999998</v>
      </c>
      <c r="E25" s="1">
        <f>+AA25*4-SUM(B25:D25)</f>
        <v>2523.0999999999995</v>
      </c>
      <c r="F25" s="1">
        <v>2503.6</v>
      </c>
      <c r="G25" s="1">
        <v>2481.1999999999998</v>
      </c>
      <c r="H25" s="1">
        <v>2473.1999999999998</v>
      </c>
      <c r="I25" s="1">
        <f>+AB25*4-SUM(F25:H25)</f>
        <v>2477.6000000000013</v>
      </c>
      <c r="J25" s="1">
        <v>2475.1999999999998</v>
      </c>
      <c r="K25" s="1">
        <v>2468.4</v>
      </c>
      <c r="L25" s="1">
        <v>2472</v>
      </c>
      <c r="M25" s="1">
        <f>+(AC25*4)-SUM(J25:L25)</f>
        <v>2472</v>
      </c>
      <c r="N25" s="1">
        <v>2466</v>
      </c>
      <c r="O25" s="1">
        <v>2458.1</v>
      </c>
      <c r="P25" s="1">
        <v>2449.8000000000002</v>
      </c>
      <c r="S25" s="3"/>
      <c r="U25" s="1">
        <v>2844.4</v>
      </c>
      <c r="V25" s="1">
        <v>2740.4</v>
      </c>
      <c r="W25" s="1">
        <v>2656.7</v>
      </c>
      <c r="X25" s="1">
        <v>2539.5</v>
      </c>
      <c r="Y25" s="1">
        <v>2625.8</v>
      </c>
      <c r="Z25" s="1">
        <v>2601</v>
      </c>
      <c r="AA25" s="1">
        <v>2539.1</v>
      </c>
      <c r="AB25" s="1">
        <v>2483.9</v>
      </c>
      <c r="AC25" s="1">
        <v>2471.9</v>
      </c>
      <c r="AD25" s="1">
        <f>+AC25*0.98</f>
        <v>2422.462</v>
      </c>
      <c r="AE25" s="1">
        <f t="shared" ref="AE25:AR25" si="35">+AD25*0.98</f>
        <v>2374.0127600000001</v>
      </c>
      <c r="AF25" s="1">
        <f t="shared" si="35"/>
        <v>2326.5325048</v>
      </c>
      <c r="AG25" s="1">
        <f t="shared" si="35"/>
        <v>2280.0018547039999</v>
      </c>
      <c r="AH25" s="1">
        <f t="shared" si="35"/>
        <v>2234.4018176099198</v>
      </c>
      <c r="AI25" s="1">
        <f t="shared" si="35"/>
        <v>2189.7137812577212</v>
      </c>
      <c r="AJ25" s="1">
        <f t="shared" si="35"/>
        <v>2145.9195056325666</v>
      </c>
      <c r="AK25" s="1">
        <f t="shared" si="35"/>
        <v>2103.0011155199154</v>
      </c>
      <c r="AL25" s="1">
        <f t="shared" si="35"/>
        <v>2060.941093209517</v>
      </c>
      <c r="AM25" s="1">
        <f t="shared" si="35"/>
        <v>2019.7222713453266</v>
      </c>
      <c r="AN25" s="1">
        <f t="shared" si="35"/>
        <v>1979.3278259184201</v>
      </c>
      <c r="AO25" s="1">
        <f t="shared" si="35"/>
        <v>1939.7412694000516</v>
      </c>
      <c r="AP25" s="1">
        <f t="shared" si="35"/>
        <v>1900.9464440120505</v>
      </c>
      <c r="AQ25" s="1">
        <f t="shared" si="35"/>
        <v>1862.9275151318095</v>
      </c>
      <c r="AR25" s="1">
        <f t="shared" si="35"/>
        <v>1825.6689648291733</v>
      </c>
    </row>
    <row r="27" spans="1:145" s="3" customFormat="1" x14ac:dyDescent="0.2">
      <c r="A27" s="3" t="s">
        <v>11</v>
      </c>
      <c r="B27" s="3">
        <f t="shared" ref="B27:O27" si="36">+B17/B15</f>
        <v>0.4903628675385977</v>
      </c>
      <c r="C27" s="3">
        <f t="shared" si="36"/>
        <v>0.49105140075406861</v>
      </c>
      <c r="D27" s="3">
        <f t="shared" si="36"/>
        <v>0.46721015427480522</v>
      </c>
      <c r="E27" s="3">
        <f t="shared" si="36"/>
        <v>0.44647706892134253</v>
      </c>
      <c r="F27" s="3">
        <f t="shared" si="36"/>
        <v>0.47380166893071995</v>
      </c>
      <c r="G27" s="3">
        <f t="shared" si="36"/>
        <v>0.47542483030857363</v>
      </c>
      <c r="H27" s="3">
        <f t="shared" si="36"/>
        <v>0.48156268686466014</v>
      </c>
      <c r="I27" s="3">
        <f t="shared" si="36"/>
        <v>0.48362769425388019</v>
      </c>
      <c r="J27" s="3">
        <f t="shared" si="36"/>
        <v>0.51986648987243378</v>
      </c>
      <c r="K27" s="3">
        <f t="shared" si="36"/>
        <v>0.52688773844503523</v>
      </c>
      <c r="L27" s="3">
        <f t="shared" si="36"/>
        <v>0.51200792275315676</v>
      </c>
      <c r="M27" s="3">
        <f t="shared" si="36"/>
        <v>0.49600623417105005</v>
      </c>
      <c r="N27" s="3">
        <f t="shared" si="36"/>
        <v>0.52058701752771774</v>
      </c>
      <c r="O27" s="3">
        <f t="shared" si="36"/>
        <v>0.52390092313316883</v>
      </c>
      <c r="P27" s="3">
        <f t="shared" ref="P27" si="37">+P17/P15</f>
        <v>0.5098098705501618</v>
      </c>
      <c r="U27" s="3">
        <f t="shared" ref="U27:AC27" si="38">+U17/U15</f>
        <v>0.49602597283266209</v>
      </c>
      <c r="V27" s="3">
        <f t="shared" si="38"/>
        <v>0.49990777460112518</v>
      </c>
      <c r="W27" s="3">
        <f t="shared" si="38"/>
        <v>0.48725161599233902</v>
      </c>
      <c r="X27" s="3">
        <f t="shared" si="38"/>
        <v>0.48631877548608238</v>
      </c>
      <c r="Y27" s="3">
        <f t="shared" si="38"/>
        <v>0.5031712473572939</v>
      </c>
      <c r="Z27" s="3">
        <f t="shared" si="38"/>
        <v>0.51249375968890409</v>
      </c>
      <c r="AA27" s="3">
        <f t="shared" si="38"/>
        <v>0.47426640228465961</v>
      </c>
      <c r="AB27" s="3">
        <f t="shared" si="38"/>
        <v>0.47857473843377313</v>
      </c>
      <c r="AC27" s="3">
        <f t="shared" si="38"/>
        <v>0.51393995644879165</v>
      </c>
      <c r="AD27" s="3">
        <f t="shared" ref="AD27:AR27" si="39">+AD17/AD15</f>
        <v>0.5163226037211015</v>
      </c>
      <c r="AE27" s="3">
        <f t="shared" si="39"/>
        <v>0.51869357134991967</v>
      </c>
      <c r="AF27" s="3">
        <f t="shared" si="39"/>
        <v>0.52105291658840058</v>
      </c>
      <c r="AG27" s="3">
        <f t="shared" si="39"/>
        <v>0.52340069640904574</v>
      </c>
      <c r="AH27" s="3">
        <f t="shared" si="39"/>
        <v>0.52573696750507981</v>
      </c>
      <c r="AI27" s="3">
        <f t="shared" si="39"/>
        <v>0.52806178629181966</v>
      </c>
      <c r="AJ27" s="3">
        <f t="shared" si="39"/>
        <v>0.53037520890803624</v>
      </c>
      <c r="AK27" s="3">
        <f t="shared" si="39"/>
        <v>0.53267729121731067</v>
      </c>
      <c r="AL27" s="3">
        <f t="shared" si="39"/>
        <v>0.53496808880938274</v>
      </c>
      <c r="AM27" s="3">
        <f t="shared" si="39"/>
        <v>0.53724765700149368</v>
      </c>
      <c r="AN27" s="3">
        <f t="shared" si="39"/>
        <v>0.53951605083972165</v>
      </c>
      <c r="AO27" s="3">
        <f t="shared" si="39"/>
        <v>0.54177332510031129</v>
      </c>
      <c r="AP27" s="3">
        <f t="shared" si="39"/>
        <v>0.54401953429099614</v>
      </c>
      <c r="AQ27" s="3">
        <f t="shared" si="39"/>
        <v>0.54625473265231472</v>
      </c>
      <c r="AR27" s="3">
        <f t="shared" si="39"/>
        <v>0.54847897415892111</v>
      </c>
      <c r="AT27" s="3" t="s">
        <v>102</v>
      </c>
      <c r="AU27" s="3">
        <v>0.08</v>
      </c>
    </row>
    <row r="28" spans="1:145" s="3" customFormat="1" x14ac:dyDescent="0.2">
      <c r="A28" s="3" t="s">
        <v>12</v>
      </c>
      <c r="B28" s="3">
        <f t="shared" ref="B28:O28" si="40">+B19/B15</f>
        <v>0.24697610384501917</v>
      </c>
      <c r="C28" s="3">
        <f t="shared" si="40"/>
        <v>0.24664725814919106</v>
      </c>
      <c r="D28" s="3">
        <f t="shared" si="40"/>
        <v>0.20762602548888087</v>
      </c>
      <c r="E28" s="3">
        <f t="shared" si="40"/>
        <v>0.18437099666922879</v>
      </c>
      <c r="F28" s="3">
        <f t="shared" si="40"/>
        <v>0.23961769842810013</v>
      </c>
      <c r="G28" s="3">
        <f t="shared" si="40"/>
        <v>0.23034708515861937</v>
      </c>
      <c r="H28" s="3">
        <f t="shared" si="40"/>
        <v>0.21168028702411801</v>
      </c>
      <c r="I28" s="3">
        <f t="shared" si="40"/>
        <v>0.2025008514572082</v>
      </c>
      <c r="J28" s="3">
        <f t="shared" si="40"/>
        <v>0.26363677929678569</v>
      </c>
      <c r="K28" s="3">
        <f t="shared" si="40"/>
        <v>0.26934378060724778</v>
      </c>
      <c r="L28" s="3">
        <f t="shared" si="40"/>
        <v>0.22084674424362466</v>
      </c>
      <c r="M28" s="3">
        <f t="shared" si="40"/>
        <v>0.18921683226183519</v>
      </c>
      <c r="N28" s="3">
        <f t="shared" si="40"/>
        <v>0.26668813543727288</v>
      </c>
      <c r="O28" s="3">
        <f t="shared" si="40"/>
        <v>0.26236175852298693</v>
      </c>
      <c r="P28" s="3">
        <f t="shared" ref="P28" si="41">+P19/P15</f>
        <v>0.23048139158576053</v>
      </c>
      <c r="U28" s="3">
        <f t="shared" ref="U28:AC28" si="42">+U19/U15</f>
        <v>0.20583776168088333</v>
      </c>
      <c r="V28" s="3">
        <f t="shared" si="42"/>
        <v>0.21450090688308893</v>
      </c>
      <c r="W28" s="3">
        <f t="shared" si="42"/>
        <v>0.20515621259276992</v>
      </c>
      <c r="X28" s="3">
        <f t="shared" si="42"/>
        <v>0.20436144435908044</v>
      </c>
      <c r="Y28" s="3">
        <f t="shared" si="42"/>
        <v>0.22136715997181114</v>
      </c>
      <c r="Z28" s="3">
        <f t="shared" si="42"/>
        <v>0.23629102183452008</v>
      </c>
      <c r="AA28" s="3">
        <f t="shared" si="42"/>
        <v>0.22214324017608839</v>
      </c>
      <c r="AB28" s="3">
        <f t="shared" si="42"/>
        <v>0.2211301612077165</v>
      </c>
      <c r="AC28" s="3">
        <f t="shared" si="42"/>
        <v>0.23662823213032044</v>
      </c>
      <c r="AD28" s="3">
        <f t="shared" ref="AD28:AR28" si="43">+AD19/AD15</f>
        <v>0.23901087940263033</v>
      </c>
      <c r="AE28" s="3">
        <f t="shared" si="43"/>
        <v>0.24138184703144852</v>
      </c>
      <c r="AF28" s="3">
        <f t="shared" si="43"/>
        <v>0.24374119226992935</v>
      </c>
      <c r="AG28" s="3">
        <f t="shared" si="43"/>
        <v>0.24608897209057451</v>
      </c>
      <c r="AH28" s="3">
        <f t="shared" si="43"/>
        <v>0.24842524318660864</v>
      </c>
      <c r="AI28" s="3">
        <f t="shared" si="43"/>
        <v>0.25075006197334848</v>
      </c>
      <c r="AJ28" s="3">
        <f t="shared" si="43"/>
        <v>0.25306348458956507</v>
      </c>
      <c r="AK28" s="3">
        <f t="shared" si="43"/>
        <v>0.25536556689883944</v>
      </c>
      <c r="AL28" s="3">
        <f t="shared" si="43"/>
        <v>0.25765636449091145</v>
      </c>
      <c r="AM28" s="3">
        <f t="shared" si="43"/>
        <v>0.25993593268302245</v>
      </c>
      <c r="AN28" s="3">
        <f t="shared" si="43"/>
        <v>0.26220432652125042</v>
      </c>
      <c r="AO28" s="3">
        <f t="shared" si="43"/>
        <v>0.26446160078184006</v>
      </c>
      <c r="AP28" s="3">
        <f t="shared" si="43"/>
        <v>0.26670780997252486</v>
      </c>
      <c r="AQ28" s="3">
        <f t="shared" si="43"/>
        <v>0.26894300833384355</v>
      </c>
      <c r="AR28" s="3">
        <f t="shared" si="43"/>
        <v>0.27116724984044982</v>
      </c>
      <c r="AT28" s="3" t="s">
        <v>103</v>
      </c>
      <c r="AU28" s="3">
        <v>-0.01</v>
      </c>
    </row>
    <row r="29" spans="1:145" s="3" customFormat="1" x14ac:dyDescent="0.2">
      <c r="A29" s="3" t="s">
        <v>13</v>
      </c>
      <c r="B29" s="3">
        <f t="shared" ref="B29:O29" si="44">+B23/B15</f>
        <v>0.19746287737240634</v>
      </c>
      <c r="C29" s="3">
        <f t="shared" si="44"/>
        <v>0.19448289027824178</v>
      </c>
      <c r="D29" s="3">
        <f t="shared" si="44"/>
        <v>0.16614209793096332</v>
      </c>
      <c r="E29" s="3">
        <f t="shared" si="44"/>
        <v>0.14921854983346144</v>
      </c>
      <c r="F29" s="3">
        <f t="shared" si="44"/>
        <v>0.18552299631282748</v>
      </c>
      <c r="G29" s="3">
        <f t="shared" si="44"/>
        <v>0.18312232224522215</v>
      </c>
      <c r="H29" s="3">
        <f t="shared" si="44"/>
        <v>0.16170021925453459</v>
      </c>
      <c r="I29" s="3">
        <f t="shared" si="44"/>
        <v>0.15554906826254075</v>
      </c>
      <c r="J29" s="3">
        <f t="shared" si="44"/>
        <v>0.20223126514562662</v>
      </c>
      <c r="K29" s="3">
        <f t="shared" si="44"/>
        <v>0.2172006902663122</v>
      </c>
      <c r="L29" s="3">
        <f t="shared" si="44"/>
        <v>0.17425105224065363</v>
      </c>
      <c r="M29" s="3">
        <f t="shared" si="44"/>
        <v>0.14845119812974869</v>
      </c>
      <c r="N29" s="3">
        <f t="shared" si="44"/>
        <v>0.20895247734277958</v>
      </c>
      <c r="O29" s="3">
        <f t="shared" si="44"/>
        <v>0.20258660085915364</v>
      </c>
      <c r="P29" s="3">
        <f t="shared" ref="P29" si="45">+P23/P15</f>
        <v>0.18122977346278318</v>
      </c>
      <c r="U29" s="3">
        <f t="shared" ref="U29:AC29" si="46">+U23/U15</f>
        <v>0.16631188839032757</v>
      </c>
      <c r="V29" s="3">
        <f t="shared" si="46"/>
        <v>0.17719573303821207</v>
      </c>
      <c r="W29" s="3">
        <f t="shared" si="46"/>
        <v>0.16457684941345463</v>
      </c>
      <c r="X29" s="3">
        <f t="shared" si="46"/>
        <v>0.16902074345487855</v>
      </c>
      <c r="Y29" s="3">
        <f t="shared" si="46"/>
        <v>0.17850599013389712</v>
      </c>
      <c r="Z29" s="3">
        <f t="shared" si="46"/>
        <v>0.18741953283060511</v>
      </c>
      <c r="AA29" s="3">
        <f t="shared" si="46"/>
        <v>0.177372890867597</v>
      </c>
      <c r="AB29" s="3">
        <f t="shared" si="46"/>
        <v>0.17157281174548203</v>
      </c>
      <c r="AC29" s="3">
        <f t="shared" si="46"/>
        <v>0.18618736538987851</v>
      </c>
      <c r="AD29" s="3">
        <f t="shared" ref="AD29:AR29" si="47">+AD23/AD15</f>
        <v>0.18436118244820512</v>
      </c>
      <c r="AE29" s="3">
        <f t="shared" si="47"/>
        <v>0.19073013184560758</v>
      </c>
      <c r="AF29" s="3">
        <f t="shared" si="47"/>
        <v>0.19715195125196641</v>
      </c>
      <c r="AG29" s="3">
        <f t="shared" si="47"/>
        <v>0.20362671126664597</v>
      </c>
      <c r="AH29" s="3">
        <f t="shared" si="47"/>
        <v>0.21015448343613577</v>
      </c>
      <c r="AI29" s="3">
        <f t="shared" si="47"/>
        <v>0.21673534025447894</v>
      </c>
      <c r="AJ29" s="3">
        <f t="shared" si="47"/>
        <v>0.22336935516371839</v>
      </c>
      <c r="AK29" s="3">
        <f t="shared" si="47"/>
        <v>0.23005660255436128</v>
      </c>
      <c r="AL29" s="3">
        <f t="shared" si="47"/>
        <v>0.23679715776586094</v>
      </c>
      <c r="AM29" s="3">
        <f t="shared" si="47"/>
        <v>0.24359109708711643</v>
      </c>
      <c r="AN29" s="3">
        <f t="shared" si="47"/>
        <v>0.25043849775698984</v>
      </c>
      <c r="AO29" s="3">
        <f t="shared" si="47"/>
        <v>0.25733943796484193</v>
      </c>
      <c r="AP29" s="3">
        <f t="shared" si="47"/>
        <v>0.26429399685108462</v>
      </c>
      <c r="AQ29" s="3">
        <f t="shared" si="47"/>
        <v>0.27130225450775208</v>
      </c>
      <c r="AR29" s="3">
        <f t="shared" si="47"/>
        <v>0.27836429197908857</v>
      </c>
      <c r="AT29" s="3" t="s">
        <v>104</v>
      </c>
      <c r="AU29" s="1">
        <f>+NPV(AU27,AD23:EO23)+Main!L6-Main!L7</f>
        <v>267959.51956983417</v>
      </c>
    </row>
    <row r="30" spans="1:145" s="3" customFormat="1" x14ac:dyDescent="0.2">
      <c r="A30" s="3" t="s">
        <v>14</v>
      </c>
      <c r="B30" s="3">
        <f t="shared" ref="B30:O30" si="48">+B22/B21</f>
        <v>0.18456852791878173</v>
      </c>
      <c r="C30" s="3">
        <f t="shared" si="48"/>
        <v>0.19656940063091483</v>
      </c>
      <c r="D30" s="3">
        <f t="shared" si="48"/>
        <v>0.17940876656472987</v>
      </c>
      <c r="E30" s="3">
        <f t="shared" si="48"/>
        <v>0.16894977168949771</v>
      </c>
      <c r="F30" s="3">
        <f t="shared" si="48"/>
        <v>0.21284479209551255</v>
      </c>
      <c r="G30" s="3">
        <f t="shared" si="48"/>
        <v>0.18717948717948718</v>
      </c>
      <c r="H30" s="3">
        <f t="shared" si="48"/>
        <v>0.21027013871988318</v>
      </c>
      <c r="I30" s="3">
        <f t="shared" si="48"/>
        <v>0.20827142149579</v>
      </c>
      <c r="J30" s="3">
        <f t="shared" si="48"/>
        <v>0.21979185041453519</v>
      </c>
      <c r="K30" s="3">
        <f t="shared" si="48"/>
        <v>0.17720848056537103</v>
      </c>
      <c r="L30" s="3">
        <f t="shared" si="48"/>
        <v>0.18748556915262063</v>
      </c>
      <c r="M30" s="3">
        <f t="shared" si="48"/>
        <v>0.19236883942766295</v>
      </c>
      <c r="N30" s="3">
        <f t="shared" si="48"/>
        <v>0.20231822971548999</v>
      </c>
      <c r="O30" s="3">
        <f t="shared" si="48"/>
        <v>0.2112099644128114</v>
      </c>
      <c r="P30" s="3">
        <f t="shared" ref="P30" si="49">+P22/P21</f>
        <v>0.19496855345911951</v>
      </c>
      <c r="U30" s="3">
        <f t="shared" ref="U30:AC30" si="50">+U22/U21</f>
        <v>0.23531896915927333</v>
      </c>
      <c r="V30" s="3">
        <f t="shared" si="50"/>
        <v>0.209923925707628</v>
      </c>
      <c r="W30" s="3">
        <f t="shared" si="50"/>
        <v>0.23956028761061948</v>
      </c>
      <c r="X30" s="3">
        <f t="shared" si="50"/>
        <v>0.15528317211843756</v>
      </c>
      <c r="Y30" s="3">
        <f t="shared" si="50"/>
        <v>0.17738373603533386</v>
      </c>
      <c r="Z30" s="3">
        <f t="shared" si="50"/>
        <v>0.18614866792172971</v>
      </c>
      <c r="AA30" s="3">
        <f t="shared" si="50"/>
        <v>0.18375896700143471</v>
      </c>
      <c r="AB30" s="3">
        <f t="shared" si="50"/>
        <v>0.20441051738761662</v>
      </c>
      <c r="AC30" s="3">
        <f t="shared" si="50"/>
        <v>0.19486467016568901</v>
      </c>
      <c r="AD30" s="3">
        <f t="shared" ref="AD30:AR30" si="51">+AD22/AD21</f>
        <v>0.2</v>
      </c>
      <c r="AE30" s="3">
        <f t="shared" si="51"/>
        <v>0.20000000000000004</v>
      </c>
      <c r="AF30" s="3">
        <f t="shared" si="51"/>
        <v>0.2</v>
      </c>
      <c r="AG30" s="3">
        <f t="shared" si="51"/>
        <v>0.19999999999999998</v>
      </c>
      <c r="AH30" s="3">
        <f t="shared" si="51"/>
        <v>0.2</v>
      </c>
      <c r="AI30" s="3">
        <f t="shared" si="51"/>
        <v>0.2</v>
      </c>
      <c r="AJ30" s="3">
        <f t="shared" si="51"/>
        <v>0.2</v>
      </c>
      <c r="AK30" s="3">
        <f t="shared" si="51"/>
        <v>0.2</v>
      </c>
      <c r="AL30" s="3">
        <f t="shared" si="51"/>
        <v>0.2</v>
      </c>
      <c r="AM30" s="3">
        <f t="shared" si="51"/>
        <v>0.2</v>
      </c>
      <c r="AN30" s="3">
        <f t="shared" si="51"/>
        <v>0.2</v>
      </c>
      <c r="AO30" s="3">
        <f t="shared" si="51"/>
        <v>0.2</v>
      </c>
      <c r="AP30" s="3">
        <f t="shared" si="51"/>
        <v>0.2</v>
      </c>
      <c r="AQ30" s="3">
        <f t="shared" si="51"/>
        <v>0.2</v>
      </c>
      <c r="AR30" s="3">
        <f t="shared" si="51"/>
        <v>0.2</v>
      </c>
      <c r="AT30" s="3" t="s">
        <v>10</v>
      </c>
      <c r="AU30" s="4">
        <f>+AU29/Main!L4</f>
        <v>109.38016147025641</v>
      </c>
    </row>
    <row r="31" spans="1:145" s="3" customFormat="1" x14ac:dyDescent="0.2">
      <c r="AT31" s="3" t="s">
        <v>105</v>
      </c>
      <c r="AU31" s="16">
        <f>+AU30/Main!L3-1</f>
        <v>-0.34000988674195121</v>
      </c>
    </row>
    <row r="32" spans="1:145" s="6" customFormat="1" x14ac:dyDescent="0.2">
      <c r="A32" s="6" t="s">
        <v>15</v>
      </c>
      <c r="F32" s="6">
        <f t="shared" ref="F32:P32" si="52">+F15/B15-1</f>
        <v>1.3472317828695068E-2</v>
      </c>
      <c r="G32" s="6">
        <f t="shared" si="52"/>
        <v>-8.5906552760941501E-3</v>
      </c>
      <c r="H32" s="6">
        <f t="shared" si="52"/>
        <v>3.5447087353593698E-2</v>
      </c>
      <c r="I32" s="6">
        <f t="shared" si="52"/>
        <v>5.3189853958493405E-2</v>
      </c>
      <c r="J32" s="6">
        <f t="shared" si="52"/>
        <v>6.1080923733747294E-2</v>
      </c>
      <c r="K32" s="6">
        <f t="shared" si="52"/>
        <v>3.2157127039907474E-2</v>
      </c>
      <c r="L32" s="6">
        <f t="shared" si="52"/>
        <v>6.3284831572651967E-3</v>
      </c>
      <c r="M32" s="6">
        <f t="shared" si="52"/>
        <v>-1.0217486498321771E-3</v>
      </c>
      <c r="N32" s="6">
        <f t="shared" si="52"/>
        <v>-6.1268346211879043E-3</v>
      </c>
      <c r="O32" s="6">
        <f t="shared" si="52"/>
        <v>2.0568070519098924E-2</v>
      </c>
      <c r="P32" s="6">
        <f t="shared" si="52"/>
        <v>-2.0747709829165628E-2</v>
      </c>
      <c r="U32" s="6" t="e">
        <f t="shared" ref="U32:AC32" si="53">+U15/T15-1</f>
        <v>#DIV/0!</v>
      </c>
      <c r="V32" s="6">
        <f t="shared" si="53"/>
        <v>-3.6907150186067383E-3</v>
      </c>
      <c r="W32" s="6">
        <f t="shared" si="53"/>
        <v>2.7267976267330685E-2</v>
      </c>
      <c r="X32" s="6">
        <f t="shared" si="53"/>
        <v>1.2748384007660984E-2</v>
      </c>
      <c r="Y32" s="6">
        <f t="shared" si="53"/>
        <v>4.8253649311506441E-2</v>
      </c>
      <c r="Z32" s="6">
        <f t="shared" si="53"/>
        <v>7.284002818886548E-2</v>
      </c>
      <c r="AA32" s="6">
        <f t="shared" si="53"/>
        <v>5.3456475472293041E-2</v>
      </c>
      <c r="AB32" s="6">
        <f t="shared" si="53"/>
        <v>2.268447503959492E-2</v>
      </c>
      <c r="AC32" s="6">
        <f t="shared" si="53"/>
        <v>2.4790868960807844E-2</v>
      </c>
      <c r="AD32" s="6">
        <f t="shared" ref="AD32:AR32" si="54">+AD15/AC15-1</f>
        <v>2.0000000000000018E-2</v>
      </c>
      <c r="AE32" s="6">
        <f t="shared" si="54"/>
        <v>2.0000000000000018E-2</v>
      </c>
      <c r="AF32" s="6">
        <f t="shared" si="54"/>
        <v>2.0000000000000018E-2</v>
      </c>
      <c r="AG32" s="6">
        <f t="shared" si="54"/>
        <v>2.0000000000000018E-2</v>
      </c>
      <c r="AH32" s="6">
        <f t="shared" si="54"/>
        <v>2.0000000000000018E-2</v>
      </c>
      <c r="AI32" s="6">
        <f t="shared" si="54"/>
        <v>2.0000000000000018E-2</v>
      </c>
      <c r="AJ32" s="6">
        <f t="shared" si="54"/>
        <v>2.0000000000000018E-2</v>
      </c>
      <c r="AK32" s="6">
        <f t="shared" si="54"/>
        <v>2.0000000000000018E-2</v>
      </c>
      <c r="AL32" s="6">
        <f t="shared" si="54"/>
        <v>2.0000000000000018E-2</v>
      </c>
      <c r="AM32" s="6">
        <f t="shared" si="54"/>
        <v>2.0000000000000018E-2</v>
      </c>
      <c r="AN32" s="6">
        <f t="shared" si="54"/>
        <v>2.0000000000000018E-2</v>
      </c>
      <c r="AO32" s="6">
        <f t="shared" si="54"/>
        <v>2.0000000000000018E-2</v>
      </c>
      <c r="AP32" s="6">
        <f t="shared" si="54"/>
        <v>2.0000000000000018E-2</v>
      </c>
      <c r="AQ32" s="6">
        <f t="shared" si="54"/>
        <v>2.0000000000000018E-2</v>
      </c>
      <c r="AR32" s="6">
        <f t="shared" si="54"/>
        <v>2.0000000000000018E-2</v>
      </c>
    </row>
    <row r="33" spans="1:44" x14ac:dyDescent="0.2">
      <c r="AC33" s="3"/>
    </row>
    <row r="34" spans="1:44" x14ac:dyDescent="0.2">
      <c r="A34" s="1" t="s">
        <v>31</v>
      </c>
      <c r="N34" s="1">
        <f>+N35-N45</f>
        <v>-23997</v>
      </c>
      <c r="O34" s="1">
        <f>+O35-O45</f>
        <v>-24457</v>
      </c>
      <c r="P34" s="1">
        <f>+P35-P45</f>
        <v>-25025</v>
      </c>
      <c r="AC34" s="1">
        <f>+O34</f>
        <v>-24457</v>
      </c>
      <c r="AD34" s="1">
        <f>+AC34+AD23</f>
        <v>-8653.5999999999967</v>
      </c>
      <c r="AE34" s="1">
        <f t="shared" ref="AE34:AR34" si="55">+AD34+AE23</f>
        <v>8022.7318400000095</v>
      </c>
      <c r="AF34" s="1">
        <f t="shared" si="55"/>
        <v>25605.306532160022</v>
      </c>
      <c r="AG34" s="1">
        <f t="shared" si="55"/>
        <v>44128.519080539874</v>
      </c>
      <c r="AH34" s="1">
        <f t="shared" si="55"/>
        <v>63627.880747176729</v>
      </c>
      <c r="AI34" s="1">
        <f t="shared" si="55"/>
        <v>84140.052225949621</v>
      </c>
      <c r="AJ34" s="1">
        <f t="shared" si="55"/>
        <v>105702.877748812</v>
      </c>
      <c r="AK34" s="1">
        <f t="shared" si="55"/>
        <v>128355.42014962071</v>
      </c>
      <c r="AL34" s="1">
        <f t="shared" si="55"/>
        <v>152137.99691145457</v>
      </c>
      <c r="AM34" s="1">
        <f t="shared" si="55"/>
        <v>177092.21722399691</v>
      </c>
      <c r="AN34" s="1">
        <f t="shared" si="55"/>
        <v>203261.02007825614</v>
      </c>
      <c r="AO34" s="1">
        <f t="shared" si="55"/>
        <v>230688.713426615</v>
      </c>
      <c r="AP34" s="1">
        <f t="shared" si="55"/>
        <v>259421.01443693554</v>
      </c>
      <c r="AQ34" s="1">
        <f t="shared" si="55"/>
        <v>289505.09087020089</v>
      </c>
      <c r="AR34" s="1">
        <f t="shared" si="55"/>
        <v>320989.60361194977</v>
      </c>
    </row>
    <row r="35" spans="1:44" x14ac:dyDescent="0.2">
      <c r="A35" s="1" t="s">
        <v>18</v>
      </c>
      <c r="N35" s="1">
        <v>12156</v>
      </c>
      <c r="O35" s="1">
        <v>10230</v>
      </c>
      <c r="P35" s="1">
        <v>9116</v>
      </c>
    </row>
    <row r="36" spans="1:44" x14ac:dyDescent="0.2">
      <c r="A36" s="1" t="s">
        <v>32</v>
      </c>
      <c r="N36" s="1">
        <v>6314</v>
      </c>
      <c r="O36" s="1">
        <v>6234</v>
      </c>
      <c r="P36" s="1">
        <v>6139</v>
      </c>
    </row>
    <row r="37" spans="1:44" x14ac:dyDescent="0.2">
      <c r="A37" s="1" t="s">
        <v>33</v>
      </c>
      <c r="N37" s="1">
        <v>7287</v>
      </c>
      <c r="O37" s="1">
        <v>7020</v>
      </c>
      <c r="P37" s="1">
        <v>7400</v>
      </c>
    </row>
    <row r="38" spans="1:44" x14ac:dyDescent="0.2">
      <c r="A38" s="1" t="s">
        <v>40</v>
      </c>
      <c r="N38" s="1">
        <v>1692</v>
      </c>
      <c r="O38" s="1">
        <v>2158</v>
      </c>
      <c r="P38" s="1">
        <v>1780</v>
      </c>
    </row>
    <row r="39" spans="1:44" x14ac:dyDescent="0.2">
      <c r="A39" s="1" t="s">
        <v>34</v>
      </c>
      <c r="N39" s="1">
        <v>22506</v>
      </c>
      <c r="O39" s="1">
        <v>22074</v>
      </c>
      <c r="P39" s="1">
        <v>22728</v>
      </c>
    </row>
    <row r="40" spans="1:44" x14ac:dyDescent="0.2">
      <c r="A40" s="1" t="s">
        <v>35</v>
      </c>
      <c r="N40" s="1">
        <f>40970+22053</f>
        <v>63023</v>
      </c>
      <c r="O40" s="1">
        <f>39898+21833</f>
        <v>61731</v>
      </c>
      <c r="P40" s="1">
        <f>40476+21836</f>
        <v>62312</v>
      </c>
    </row>
    <row r="41" spans="1:44" x14ac:dyDescent="0.2">
      <c r="A41" s="1" t="s">
        <v>36</v>
      </c>
      <c r="N41" s="1">
        <v>13503</v>
      </c>
      <c r="O41" s="1">
        <v>13192</v>
      </c>
      <c r="P41" s="1">
        <v>13508</v>
      </c>
    </row>
    <row r="42" spans="1:44" s="5" customFormat="1" x14ac:dyDescent="0.2">
      <c r="A42" s="5" t="s">
        <v>37</v>
      </c>
      <c r="N42" s="5">
        <f>+SUM(N35:N41)</f>
        <v>126481</v>
      </c>
      <c r="O42" s="5">
        <f>+SUM(O35:O41)</f>
        <v>122639</v>
      </c>
      <c r="P42" s="5">
        <f>+SUM(P35:P41)</f>
        <v>122983</v>
      </c>
    </row>
    <row r="43" spans="1:44" x14ac:dyDescent="0.2">
      <c r="A43" s="1" t="s">
        <v>38</v>
      </c>
      <c r="N43" s="1">
        <v>15350</v>
      </c>
      <c r="O43" s="1">
        <v>14495</v>
      </c>
      <c r="P43" s="1">
        <v>14512</v>
      </c>
    </row>
    <row r="44" spans="1:44" x14ac:dyDescent="0.2">
      <c r="A44" s="1" t="s">
        <v>39</v>
      </c>
      <c r="N44" s="1">
        <v>10661</v>
      </c>
      <c r="O44" s="1">
        <v>9879</v>
      </c>
      <c r="P44" s="1">
        <v>9847</v>
      </c>
    </row>
    <row r="45" spans="1:44" x14ac:dyDescent="0.2">
      <c r="A45" s="1" t="s">
        <v>19</v>
      </c>
      <c r="N45" s="1">
        <f>10409+25744</f>
        <v>36153</v>
      </c>
      <c r="O45" s="1">
        <f>9424+25263</f>
        <v>34687</v>
      </c>
      <c r="P45" s="1">
        <f>9889+24252</f>
        <v>34141</v>
      </c>
    </row>
    <row r="46" spans="1:44" x14ac:dyDescent="0.2">
      <c r="A46" s="1" t="s">
        <v>41</v>
      </c>
      <c r="N46" s="1">
        <v>6420</v>
      </c>
      <c r="O46" s="1">
        <v>6725</v>
      </c>
      <c r="P46" s="1">
        <v>6481</v>
      </c>
    </row>
    <row r="47" spans="1:44" x14ac:dyDescent="0.2">
      <c r="A47" s="1" t="s">
        <v>36</v>
      </c>
      <c r="N47" s="1">
        <v>5757</v>
      </c>
      <c r="O47" s="1">
        <v>5411</v>
      </c>
      <c r="P47" s="1">
        <v>5458</v>
      </c>
    </row>
    <row r="48" spans="1:44" s="5" customFormat="1" x14ac:dyDescent="0.2">
      <c r="A48" s="5" t="s">
        <v>42</v>
      </c>
      <c r="N48" s="5">
        <f>+SUM(N43:N47)</f>
        <v>74341</v>
      </c>
      <c r="O48" s="5">
        <f>+SUM(O43:O47)</f>
        <v>71197</v>
      </c>
      <c r="P48" s="5">
        <f>+SUM(P43:P47)</f>
        <v>70439</v>
      </c>
    </row>
    <row r="49" spans="1:16" x14ac:dyDescent="0.2">
      <c r="A49" s="1" t="s">
        <v>43</v>
      </c>
      <c r="N49" s="1">
        <v>52141</v>
      </c>
      <c r="O49" s="1">
        <v>51443</v>
      </c>
      <c r="P49" s="1">
        <v>52545</v>
      </c>
    </row>
    <row r="50" spans="1:16" x14ac:dyDescent="0.2">
      <c r="A50" s="1" t="s">
        <v>44</v>
      </c>
      <c r="N50" s="1">
        <f>+N49+N48</f>
        <v>126482</v>
      </c>
      <c r="O50" s="1">
        <f>+O49+O48</f>
        <v>122640</v>
      </c>
      <c r="P50" s="1">
        <f>+P49+P48</f>
        <v>122984</v>
      </c>
    </row>
    <row r="52" spans="1:16" x14ac:dyDescent="0.2">
      <c r="A52" s="1" t="s">
        <v>45</v>
      </c>
      <c r="N52" s="1">
        <f>+SUM(K23:N23)</f>
        <v>15766</v>
      </c>
      <c r="O52" s="1">
        <f>+SUM(L23:O23)</f>
        <v>15542</v>
      </c>
      <c r="P52" s="1">
        <f>+SUM(M23:P23)</f>
        <v>15607</v>
      </c>
    </row>
    <row r="53" spans="1:16" s="3" customFormat="1" x14ac:dyDescent="0.2">
      <c r="A53" s="3" t="s">
        <v>46</v>
      </c>
      <c r="N53" s="3">
        <f>+N52/(N36+N37+N38+N39+N41)</f>
        <v>0.30731745351058437</v>
      </c>
      <c r="O53" s="3">
        <f>+O52/(O36+O37+O38+O39+O41)</f>
        <v>0.30668140021311024</v>
      </c>
      <c r="P53" s="3">
        <f>+P52/(P36+P37+P38+P39+P41)</f>
        <v>0.30272524488410435</v>
      </c>
    </row>
    <row r="55" spans="1:16" x14ac:dyDescent="0.2">
      <c r="A55" s="1" t="s">
        <v>47</v>
      </c>
      <c r="N55" s="1">
        <f>+N23</f>
        <v>4542</v>
      </c>
      <c r="O55" s="1">
        <f>+O23</f>
        <v>4433</v>
      </c>
      <c r="P55" s="1">
        <f>+P23</f>
        <v>3584</v>
      </c>
    </row>
    <row r="56" spans="1:16" x14ac:dyDescent="0.2">
      <c r="A56" s="1" t="s">
        <v>48</v>
      </c>
      <c r="N56" s="1">
        <v>3987</v>
      </c>
      <c r="O56" s="1">
        <f>8646-N56</f>
        <v>4659</v>
      </c>
      <c r="P56" s="1">
        <f>12439-SUM(N56:O56)</f>
        <v>3793</v>
      </c>
    </row>
    <row r="57" spans="1:16" x14ac:dyDescent="0.2">
      <c r="A57" s="1" t="s">
        <v>49</v>
      </c>
      <c r="N57" s="1">
        <v>728</v>
      </c>
      <c r="O57" s="1">
        <f>1434-N57</f>
        <v>706</v>
      </c>
      <c r="P57" s="1">
        <f>2124-SUM(N57:O57)</f>
        <v>690</v>
      </c>
    </row>
    <row r="58" spans="1:16" x14ac:dyDescent="0.2">
      <c r="A58" s="1" t="s">
        <v>50</v>
      </c>
      <c r="N58" s="1">
        <v>105</v>
      </c>
      <c r="O58" s="1">
        <f>241-N58</f>
        <v>136</v>
      </c>
      <c r="P58" s="1">
        <f>364-SUM(N58:O58)</f>
        <v>123</v>
      </c>
    </row>
    <row r="59" spans="1:16" x14ac:dyDescent="0.2">
      <c r="A59" s="1" t="s">
        <v>41</v>
      </c>
      <c r="N59" s="1">
        <v>184</v>
      </c>
      <c r="O59" s="1">
        <f>221-N59</f>
        <v>37</v>
      </c>
      <c r="P59" s="1">
        <f>183-SUM(N59:O59)</f>
        <v>-38</v>
      </c>
    </row>
    <row r="60" spans="1:16" x14ac:dyDescent="0.2">
      <c r="A60" s="1" t="s">
        <v>51</v>
      </c>
      <c r="N60" s="1">
        <v>794</v>
      </c>
      <c r="O60" s="1">
        <f>787-N60</f>
        <v>-7</v>
      </c>
      <c r="P60" s="1">
        <f>782-SUM(N60:O60)</f>
        <v>-5</v>
      </c>
    </row>
    <row r="61" spans="1:16" x14ac:dyDescent="0.2">
      <c r="A61" s="1" t="s">
        <v>52</v>
      </c>
      <c r="N61" s="1">
        <v>0</v>
      </c>
      <c r="O61" s="1">
        <f>0-N61</f>
        <v>0</v>
      </c>
      <c r="P61" s="1">
        <v>0</v>
      </c>
    </row>
    <row r="62" spans="1:16" x14ac:dyDescent="0.2">
      <c r="A62" s="1" t="s">
        <v>32</v>
      </c>
      <c r="N62" s="1">
        <v>-134</v>
      </c>
      <c r="O62" s="1">
        <f>-262-N62</f>
        <v>-128</v>
      </c>
      <c r="P62" s="1">
        <f>-79-SUM(N62:O62)</f>
        <v>183</v>
      </c>
    </row>
    <row r="63" spans="1:16" x14ac:dyDescent="0.2">
      <c r="A63" s="1" t="s">
        <v>33</v>
      </c>
      <c r="N63" s="1">
        <v>-188</v>
      </c>
      <c r="O63" s="1">
        <f>-170-N63</f>
        <v>18</v>
      </c>
      <c r="P63" s="1">
        <f>-409-SUM(N63:O63)</f>
        <v>-239</v>
      </c>
    </row>
    <row r="64" spans="1:16" x14ac:dyDescent="0.2">
      <c r="A64" s="1" t="s">
        <v>53</v>
      </c>
      <c r="N64" s="1">
        <v>-648</v>
      </c>
      <c r="O64" s="1">
        <f>-1157-N64</f>
        <v>-509</v>
      </c>
      <c r="P64" s="1">
        <f>-1666-SUM(N64:O64)</f>
        <v>-509</v>
      </c>
    </row>
    <row r="65" spans="1:29" x14ac:dyDescent="0.2">
      <c r="A65" s="1" t="s">
        <v>54</v>
      </c>
      <c r="N65" s="1">
        <v>-558</v>
      </c>
      <c r="O65" s="1">
        <f>-748-N65</f>
        <v>-190</v>
      </c>
      <c r="P65" s="1">
        <f>-1125-SUM(N65:O65)</f>
        <v>-377</v>
      </c>
    </row>
    <row r="66" spans="1:29" x14ac:dyDescent="0.2">
      <c r="A66" s="1" t="s">
        <v>36</v>
      </c>
      <c r="N66" s="1">
        <v>32</v>
      </c>
      <c r="O66" s="1">
        <f>135-N66</f>
        <v>103</v>
      </c>
      <c r="P66" s="1">
        <f>218-SUM(N66:O66)</f>
        <v>83</v>
      </c>
    </row>
    <row r="67" spans="1:29" s="5" customFormat="1" x14ac:dyDescent="0.2">
      <c r="A67" s="5" t="s">
        <v>55</v>
      </c>
      <c r="J67" s="5">
        <v>4904</v>
      </c>
      <c r="K67" s="5">
        <f>10004-J67</f>
        <v>5100</v>
      </c>
      <c r="L67" s="5">
        <f>14092-SUM(J67:K67)</f>
        <v>4088</v>
      </c>
      <c r="M67" s="5">
        <f>+AC67-SUM(J67:L67)</f>
        <v>5754</v>
      </c>
      <c r="N67" s="5">
        <f>+SUM(N56:N66)</f>
        <v>4302</v>
      </c>
      <c r="O67" s="5">
        <f>+SUM(O56:O66)</f>
        <v>4825</v>
      </c>
      <c r="P67" s="5">
        <f>+SUM(P56:P66)</f>
        <v>3704</v>
      </c>
      <c r="AA67" s="5">
        <v>16723</v>
      </c>
      <c r="AB67" s="5">
        <v>16848</v>
      </c>
      <c r="AC67" s="5">
        <v>19846</v>
      </c>
    </row>
    <row r="69" spans="1:29" s="5" customFormat="1" x14ac:dyDescent="0.2">
      <c r="A69" s="5" t="s">
        <v>56</v>
      </c>
      <c r="J69" s="5">
        <v>-925</v>
      </c>
      <c r="K69" s="5">
        <f>-1742-J69</f>
        <v>-817</v>
      </c>
      <c r="L69" s="5">
        <f>-2539-SUM(J69:K69)</f>
        <v>-797</v>
      </c>
      <c r="M69" s="5">
        <f>+AC69-SUM(J69:L69)</f>
        <v>-783</v>
      </c>
      <c r="N69" s="5">
        <f>-993+45</f>
        <v>-948</v>
      </c>
      <c r="O69" s="5">
        <f>-1918+47-N69</f>
        <v>-923</v>
      </c>
      <c r="P69" s="5">
        <f>-2777+64-SUM(N69:O69)</f>
        <v>-842</v>
      </c>
      <c r="AA69" s="5">
        <v>-3156</v>
      </c>
      <c r="AB69" s="5">
        <v>-3062</v>
      </c>
      <c r="AC69" s="5">
        <v>-3322</v>
      </c>
    </row>
    <row r="70" spans="1:29" x14ac:dyDescent="0.2">
      <c r="A70" s="1" t="s">
        <v>57</v>
      </c>
      <c r="N70" s="1">
        <v>-6</v>
      </c>
      <c r="O70" s="1">
        <f>-6-N70</f>
        <v>0</v>
      </c>
      <c r="P70" s="1">
        <f>-11-SUM(N70:O70)</f>
        <v>-5</v>
      </c>
    </row>
    <row r="71" spans="1:29" x14ac:dyDescent="0.2">
      <c r="A71" s="1" t="s">
        <v>36</v>
      </c>
      <c r="N71" s="1">
        <v>-154</v>
      </c>
      <c r="O71" s="1">
        <f>-153-N71</f>
        <v>1</v>
      </c>
      <c r="P71" s="1">
        <f>-33-SUM(N71:O71)</f>
        <v>120</v>
      </c>
    </row>
    <row r="72" spans="1:29" x14ac:dyDescent="0.2">
      <c r="A72" s="1" t="s">
        <v>58</v>
      </c>
      <c r="N72" s="1">
        <f>+SUM(N69:N71)</f>
        <v>-1108</v>
      </c>
      <c r="O72" s="1">
        <f>+SUM(O69:O71)</f>
        <v>-922</v>
      </c>
      <c r="P72" s="1">
        <f>+SUM(P69:P71)</f>
        <v>-727</v>
      </c>
    </row>
    <row r="74" spans="1:29" x14ac:dyDescent="0.2">
      <c r="A74" s="1" t="s">
        <v>59</v>
      </c>
      <c r="N74" s="1">
        <v>-2445</v>
      </c>
      <c r="O74" s="1">
        <f>-4886-N74</f>
        <v>-2441</v>
      </c>
      <c r="P74" s="1">
        <f>-7319-SUM(N74:O74)</f>
        <v>-2433</v>
      </c>
    </row>
    <row r="75" spans="1:29" x14ac:dyDescent="0.2">
      <c r="A75" s="1" t="s">
        <v>19</v>
      </c>
      <c r="N75" s="1">
        <f>4090-571-444-70</f>
        <v>3005</v>
      </c>
      <c r="O75" s="1">
        <f>5905-571-2705+995-1478-N75</f>
        <v>-859</v>
      </c>
      <c r="P75" s="1">
        <f>5905-3781-543+995-1478-SUM(N75:O75)</f>
        <v>-1048</v>
      </c>
    </row>
    <row r="76" spans="1:29" x14ac:dyDescent="0.2">
      <c r="A76" s="1" t="s">
        <v>60</v>
      </c>
      <c r="N76" s="1">
        <v>-1939</v>
      </c>
      <c r="O76" s="1">
        <f>-4449-N76</f>
        <v>-2510</v>
      </c>
      <c r="P76" s="1">
        <f>-5800-SUM(N76:O76)</f>
        <v>-1351</v>
      </c>
    </row>
    <row r="77" spans="1:29" x14ac:dyDescent="0.2">
      <c r="A77" s="1" t="s">
        <v>61</v>
      </c>
      <c r="N77" s="1">
        <v>745</v>
      </c>
      <c r="O77" s="1">
        <f>985-N77</f>
        <v>240</v>
      </c>
      <c r="P77" s="1">
        <f>1601-SUM(N77:O77)</f>
        <v>616</v>
      </c>
    </row>
    <row r="78" spans="1:29" x14ac:dyDescent="0.2">
      <c r="A78" s="1" t="s">
        <v>62</v>
      </c>
      <c r="N78" s="1">
        <f>+SUM(N74:N77)</f>
        <v>-634</v>
      </c>
      <c r="O78" s="1">
        <f>+SUM(O74:O77)</f>
        <v>-5570</v>
      </c>
      <c r="P78" s="1">
        <f>+SUM(P74:P77)</f>
        <v>-4216</v>
      </c>
    </row>
    <row r="79" spans="1:29" x14ac:dyDescent="0.2">
      <c r="A79" s="1" t="s">
        <v>63</v>
      </c>
      <c r="N79" s="1">
        <v>116</v>
      </c>
      <c r="O79" s="1">
        <f>-144-N79</f>
        <v>-260</v>
      </c>
      <c r="P79" s="1">
        <f>-22-SUM(N79:O79)</f>
        <v>122</v>
      </c>
    </row>
    <row r="80" spans="1:29" x14ac:dyDescent="0.2">
      <c r="A80" s="1" t="s">
        <v>64</v>
      </c>
      <c r="N80" s="1">
        <f>+N67+N72+N78+N79</f>
        <v>2676</v>
      </c>
      <c r="O80" s="1">
        <f>+O67+O72+O78+O79</f>
        <v>-1927</v>
      </c>
      <c r="P80" s="1">
        <f>+P67+P72+P78+P79</f>
        <v>-1117</v>
      </c>
    </row>
    <row r="82" spans="1:29" s="5" customFormat="1" x14ac:dyDescent="0.2">
      <c r="A82" s="5" t="s">
        <v>65</v>
      </c>
      <c r="J82" s="5">
        <f t="shared" ref="J82:M82" si="56">+J67+J69</f>
        <v>3979</v>
      </c>
      <c r="K82" s="5">
        <f t="shared" si="56"/>
        <v>4283</v>
      </c>
      <c r="L82" s="5">
        <f t="shared" si="56"/>
        <v>3291</v>
      </c>
      <c r="M82" s="5">
        <f t="shared" si="56"/>
        <v>4971</v>
      </c>
      <c r="N82" s="5">
        <f>+N67+N69</f>
        <v>3354</v>
      </c>
      <c r="O82" s="5">
        <f>+O67+O69</f>
        <v>3902</v>
      </c>
      <c r="P82" s="5">
        <f>+P67+P69</f>
        <v>2862</v>
      </c>
      <c r="AA82" s="5">
        <f t="shared" ref="AA82:AB82" si="57">+AA67+AA69</f>
        <v>13567</v>
      </c>
      <c r="AB82" s="5">
        <f t="shared" si="57"/>
        <v>13786</v>
      </c>
      <c r="AC82" s="5">
        <f>+AC67+AC69</f>
        <v>16524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2025-04-20T19:17:09Z</dcterms:created>
  <dcterms:modified xsi:type="dcterms:W3CDTF">2025-04-24T12:16:59Z</dcterms:modified>
</cp:coreProperties>
</file>