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B072962D-D10B-42D5-90A7-42B4AEE10947}" xr6:coauthVersionLast="47" xr6:coauthVersionMax="47" xr10:uidLastSave="{00000000-0000-0000-0000-000000000000}"/>
  <bookViews>
    <workbookView xWindow="14400" yWindow="0" windowWidth="14400" windowHeight="15600" xr2:uid="{89B6896A-BB0F-42C7-9FF2-B197CB641749}"/>
  </bookViews>
  <sheets>
    <sheet name="Main" sheetId="1" r:id="rId1"/>
    <sheet name="Model" sheetId="2" r:id="rId2"/>
    <sheet name="Geographic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1" i="2" l="1"/>
  <c r="AG52" i="2" s="1"/>
  <c r="AG47" i="2"/>
  <c r="AG49" i="2" s="1"/>
  <c r="AG39" i="2"/>
  <c r="AG28" i="2"/>
  <c r="AG38" i="2" s="1"/>
  <c r="AG27" i="2"/>
  <c r="R80" i="2"/>
  <c r="R77" i="2"/>
  <c r="R78" i="2" s="1"/>
  <c r="R76" i="2"/>
  <c r="R75" i="2"/>
  <c r="R74" i="2"/>
  <c r="R73" i="2"/>
  <c r="R72" i="2"/>
  <c r="R70" i="2"/>
  <c r="R69" i="2"/>
  <c r="R68" i="2"/>
  <c r="R67" i="2"/>
  <c r="R66" i="2"/>
  <c r="R65" i="2"/>
  <c r="R63" i="2"/>
  <c r="R62" i="2"/>
  <c r="R61" i="2"/>
  <c r="R60" i="2"/>
  <c r="R59" i="2"/>
  <c r="R58" i="2"/>
  <c r="R57" i="2"/>
  <c r="R56" i="2"/>
  <c r="R55" i="2"/>
  <c r="R54" i="2"/>
  <c r="AG72" i="2"/>
  <c r="AG68" i="2"/>
  <c r="AG60" i="2"/>
  <c r="AG63" i="2" s="1"/>
  <c r="AG56" i="2"/>
  <c r="AG77" i="2"/>
  <c r="AG70" i="2"/>
  <c r="AG54" i="2"/>
  <c r="Q80" i="2"/>
  <c r="Q77" i="2"/>
  <c r="Q78" i="2" s="1"/>
  <c r="Q76" i="2"/>
  <c r="Q75" i="2"/>
  <c r="Q74" i="2"/>
  <c r="Q73" i="2"/>
  <c r="Q72" i="2"/>
  <c r="Q70" i="2"/>
  <c r="Q69" i="2"/>
  <c r="Q68" i="2"/>
  <c r="Q67" i="2"/>
  <c r="Q65" i="2"/>
  <c r="Q63" i="2"/>
  <c r="Q62" i="2"/>
  <c r="Q61" i="2"/>
  <c r="Q60" i="2"/>
  <c r="Q59" i="2"/>
  <c r="Q58" i="2"/>
  <c r="Q57" i="2"/>
  <c r="Q56" i="2"/>
  <c r="Q55" i="2"/>
  <c r="Q54" i="2"/>
  <c r="P80" i="2"/>
  <c r="P77" i="2"/>
  <c r="P78" i="2" s="1"/>
  <c r="P76" i="2"/>
  <c r="P75" i="2"/>
  <c r="P74" i="2"/>
  <c r="P73" i="2"/>
  <c r="P72" i="2"/>
  <c r="P70" i="2"/>
  <c r="P69" i="2"/>
  <c r="P68" i="2"/>
  <c r="P67" i="2"/>
  <c r="P65" i="2"/>
  <c r="P63" i="2"/>
  <c r="P62" i="2"/>
  <c r="P61" i="2"/>
  <c r="P60" i="2"/>
  <c r="P58" i="2"/>
  <c r="P59" i="2"/>
  <c r="P57" i="2"/>
  <c r="P56" i="2"/>
  <c r="P55" i="2"/>
  <c r="P54" i="2"/>
  <c r="R51" i="2"/>
  <c r="R47" i="2"/>
  <c r="R39" i="2"/>
  <c r="R28" i="2"/>
  <c r="R52" i="2"/>
  <c r="R38" i="2"/>
  <c r="S27" i="2"/>
  <c r="N25" i="2"/>
  <c r="N23" i="2"/>
  <c r="N22" i="2"/>
  <c r="N21" i="2"/>
  <c r="N20" i="2"/>
  <c r="N17" i="2"/>
  <c r="N18" i="2"/>
  <c r="N16" i="2"/>
  <c r="N14" i="2"/>
  <c r="N15" i="2"/>
  <c r="N13" i="2"/>
  <c r="N11" i="2"/>
  <c r="N12" i="2" s="1"/>
  <c r="N10" i="2"/>
  <c r="N9" i="2"/>
  <c r="N8" i="2"/>
  <c r="N7" i="2"/>
  <c r="N6" i="2"/>
  <c r="R25" i="2" s="1"/>
  <c r="R23" i="2"/>
  <c r="R22" i="2"/>
  <c r="R21" i="2"/>
  <c r="R20" i="2"/>
  <c r="R17" i="2"/>
  <c r="R18" i="2"/>
  <c r="R16" i="2"/>
  <c r="R14" i="2"/>
  <c r="R11" i="2"/>
  <c r="R12" i="2" s="1"/>
  <c r="R10" i="2"/>
  <c r="R9" i="2"/>
  <c r="R8" i="2"/>
  <c r="R7" i="2"/>
  <c r="R6" i="2"/>
  <c r="K25" i="2"/>
  <c r="K11" i="2"/>
  <c r="K8" i="2"/>
  <c r="L25" i="2"/>
  <c r="L11" i="2"/>
  <c r="L8" i="2"/>
  <c r="P25" i="2"/>
  <c r="P11" i="2"/>
  <c r="P8" i="2"/>
  <c r="AG35" i="3"/>
  <c r="AF26" i="3"/>
  <c r="AF25" i="3"/>
  <c r="AF24" i="3"/>
  <c r="AF23" i="3"/>
  <c r="AF22" i="3"/>
  <c r="AF21" i="3"/>
  <c r="AG26" i="3"/>
  <c r="AG25" i="3"/>
  <c r="AG24" i="3"/>
  <c r="AG23" i="3"/>
  <c r="AG22" i="3"/>
  <c r="AG21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F10" i="3"/>
  <c r="AF18" i="3" s="1"/>
  <c r="AE10" i="3"/>
  <c r="AE18" i="3" s="1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G10" i="3"/>
  <c r="AG18" i="3" s="1"/>
  <c r="X2" i="3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F25" i="2"/>
  <c r="AE25" i="2"/>
  <c r="AD25" i="2"/>
  <c r="AC25" i="2"/>
  <c r="AB25" i="2"/>
  <c r="AA25" i="2"/>
  <c r="Z25" i="2"/>
  <c r="Y25" i="2"/>
  <c r="X25" i="2"/>
  <c r="AG25" i="2"/>
  <c r="AE11" i="2"/>
  <c r="AE8" i="2"/>
  <c r="AF11" i="2"/>
  <c r="AF8" i="2"/>
  <c r="AF20" i="2" s="1"/>
  <c r="AG11" i="2"/>
  <c r="AG8" i="2"/>
  <c r="O68" i="2"/>
  <c r="O60" i="2"/>
  <c r="O56" i="2"/>
  <c r="O77" i="2"/>
  <c r="O70" i="2"/>
  <c r="S77" i="2"/>
  <c r="S68" i="2"/>
  <c r="S70" i="2" s="1"/>
  <c r="S56" i="2"/>
  <c r="S60" i="2"/>
  <c r="S47" i="2"/>
  <c r="S49" i="2" s="1"/>
  <c r="S28" i="2"/>
  <c r="S38" i="2" s="1"/>
  <c r="O25" i="2"/>
  <c r="O11" i="2"/>
  <c r="O8" i="2"/>
  <c r="S13" i="2"/>
  <c r="S25" i="2"/>
  <c r="S11" i="2"/>
  <c r="S8" i="2"/>
  <c r="L6" i="1"/>
  <c r="M25" i="2"/>
  <c r="M11" i="2"/>
  <c r="M8" i="2"/>
  <c r="Q25" i="2"/>
  <c r="Q11" i="2"/>
  <c r="Q8" i="2"/>
  <c r="L5" i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G80" i="2" l="1"/>
  <c r="AG78" i="2"/>
  <c r="R49" i="2"/>
  <c r="R27" i="2"/>
  <c r="K12" i="2"/>
  <c r="K21" i="2" s="1"/>
  <c r="K20" i="2"/>
  <c r="L12" i="2"/>
  <c r="L14" i="2" s="1"/>
  <c r="L20" i="2"/>
  <c r="P12" i="2"/>
  <c r="P21" i="2" s="1"/>
  <c r="P14" i="2"/>
  <c r="P20" i="2"/>
  <c r="AF13" i="3"/>
  <c r="AF17" i="3"/>
  <c r="AE17" i="3"/>
  <c r="AF14" i="3"/>
  <c r="AF15" i="3"/>
  <c r="AF16" i="3"/>
  <c r="AG13" i="3"/>
  <c r="AE13" i="3"/>
  <c r="AG14" i="3"/>
  <c r="AE14" i="3"/>
  <c r="AG15" i="3"/>
  <c r="AE15" i="3"/>
  <c r="AG16" i="3"/>
  <c r="AE16" i="3"/>
  <c r="AG17" i="3"/>
  <c r="S63" i="2"/>
  <c r="S80" i="2" s="1"/>
  <c r="AE12" i="2"/>
  <c r="AE21" i="2" s="1"/>
  <c r="AE20" i="2"/>
  <c r="AF12" i="2"/>
  <c r="AG12" i="2"/>
  <c r="AG21" i="2" s="1"/>
  <c r="AG20" i="2"/>
  <c r="O63" i="2"/>
  <c r="O80" i="2" s="1"/>
  <c r="O12" i="2"/>
  <c r="O14" i="2" s="1"/>
  <c r="O20" i="2"/>
  <c r="S12" i="2"/>
  <c r="S14" i="2" s="1"/>
  <c r="S20" i="2"/>
  <c r="L8" i="1"/>
  <c r="Q12" i="2"/>
  <c r="Q21" i="2" s="1"/>
  <c r="Q20" i="2"/>
  <c r="M12" i="2"/>
  <c r="M14" i="2" s="1"/>
  <c r="M20" i="2"/>
  <c r="K14" i="2" l="1"/>
  <c r="K23" i="2" s="1"/>
  <c r="L21" i="2"/>
  <c r="L23" i="2"/>
  <c r="L16" i="2"/>
  <c r="P23" i="2"/>
  <c r="P16" i="2"/>
  <c r="S78" i="2"/>
  <c r="AE14" i="2"/>
  <c r="AE23" i="2" s="1"/>
  <c r="AF21" i="2"/>
  <c r="AF14" i="2"/>
  <c r="AG14" i="2"/>
  <c r="AG23" i="2" s="1"/>
  <c r="O78" i="2"/>
  <c r="S21" i="2"/>
  <c r="O21" i="2"/>
  <c r="O23" i="2"/>
  <c r="O16" i="2"/>
  <c r="O54" i="2" s="1"/>
  <c r="S23" i="2"/>
  <c r="S16" i="2"/>
  <c r="S54" i="2" s="1"/>
  <c r="Q14" i="2"/>
  <c r="M21" i="2"/>
  <c r="M23" i="2"/>
  <c r="M16" i="2"/>
  <c r="K16" i="2" l="1"/>
  <c r="K22" i="2" s="1"/>
  <c r="L22" i="2"/>
  <c r="L17" i="2"/>
  <c r="P22" i="2"/>
  <c r="P17" i="2"/>
  <c r="AE16" i="2"/>
  <c r="AE22" i="2" s="1"/>
  <c r="AF23" i="2"/>
  <c r="AF16" i="2"/>
  <c r="AG16" i="2"/>
  <c r="AG22" i="2" s="1"/>
  <c r="O22" i="2"/>
  <c r="O17" i="2"/>
  <c r="S22" i="2"/>
  <c r="S17" i="2"/>
  <c r="Q23" i="2"/>
  <c r="Q16" i="2"/>
  <c r="S51" i="2" s="1"/>
  <c r="S52" i="2" s="1"/>
  <c r="M22" i="2"/>
  <c r="M17" i="2"/>
  <c r="K17" i="2" l="1"/>
  <c r="AE17" i="2"/>
  <c r="AF22" i="2"/>
  <c r="AF17" i="2"/>
  <c r="AG17" i="2"/>
  <c r="Q22" i="2"/>
  <c r="Q17" i="2"/>
</calcChain>
</file>

<file path=xl/sharedStrings.xml><?xml version="1.0" encoding="utf-8"?>
<sst xmlns="http://schemas.openxmlformats.org/spreadsheetml/2006/main" count="195" uniqueCount="137">
  <si>
    <t>Revenue</t>
  </si>
  <si>
    <t>COGS</t>
  </si>
  <si>
    <t>Gross profit</t>
  </si>
  <si>
    <t>SG&amp;A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</si>
  <si>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</si>
  <si>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</si>
  <si>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</si>
  <si>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</si>
  <si>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</si>
  <si>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</si>
  <si>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</si>
  <si>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</si>
  <si>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</si>
  <si>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</si>
  <si>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</si>
  <si>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</si>
  <si>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</si>
  <si>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</si>
  <si>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</si>
  <si>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</si>
  <si>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</si>
  <si>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</si>
  <si>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</si>
  <si>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</si>
  <si>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</si>
  <si>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</si>
  <si>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</si>
  <si>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</si>
  <si>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</si>
  <si>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</si>
  <si>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</si>
  <si>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</si>
  <si>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</si>
  <si>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</si>
  <si>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</si>
  <si>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</si>
  <si>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</si>
  <si>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</si>
  <si>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</si>
  <si>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CFFO</t>
  </si>
  <si>
    <t>CapEx</t>
  </si>
  <si>
    <t>FCF</t>
  </si>
  <si>
    <t>Q125</t>
  </si>
  <si>
    <t>Q225</t>
  </si>
  <si>
    <t>Q325</t>
  </si>
  <si>
    <t>Analog</t>
  </si>
  <si>
    <t>Other</t>
  </si>
  <si>
    <t>Embedded</t>
  </si>
  <si>
    <t>Net cash</t>
  </si>
  <si>
    <t>AR</t>
  </si>
  <si>
    <t>Inventories</t>
  </si>
  <si>
    <t>Prepaid</t>
  </si>
  <si>
    <t>PP&amp;E</t>
  </si>
  <si>
    <t>Goodwill</t>
  </si>
  <si>
    <t>DT</t>
  </si>
  <si>
    <t>Licenses</t>
  </si>
  <si>
    <t>Retirement</t>
  </si>
  <si>
    <t>Assets</t>
  </si>
  <si>
    <t>AP</t>
  </si>
  <si>
    <t>Accrued compensation</t>
  </si>
  <si>
    <t>Accrued expenses</t>
  </si>
  <si>
    <t>Liabilties</t>
  </si>
  <si>
    <t>S/E</t>
  </si>
  <si>
    <t>L+S/E</t>
  </si>
  <si>
    <t>NI TTM</t>
  </si>
  <si>
    <t>ROTA</t>
  </si>
  <si>
    <t>Model NI</t>
  </si>
  <si>
    <t>Reported NI</t>
  </si>
  <si>
    <t>D&amp;A</t>
  </si>
  <si>
    <t>SBC</t>
  </si>
  <si>
    <t>Sale of assets</t>
  </si>
  <si>
    <t>WC</t>
  </si>
  <si>
    <t>Retirement plans</t>
  </si>
  <si>
    <t>CHIP Act incentives</t>
  </si>
  <si>
    <t>Asset sales</t>
  </si>
  <si>
    <t>Investments</t>
  </si>
  <si>
    <t>CFFI</t>
  </si>
  <si>
    <t>Dividends</t>
  </si>
  <si>
    <t>Buybacks</t>
  </si>
  <si>
    <t>Common stock</t>
  </si>
  <si>
    <t>CFFF</t>
  </si>
  <si>
    <t>CIC</t>
  </si>
  <si>
    <t>Main</t>
  </si>
  <si>
    <t>Market</t>
  </si>
  <si>
    <t>Industrial</t>
  </si>
  <si>
    <t>Automotive</t>
  </si>
  <si>
    <t>Personal electronics</t>
  </si>
  <si>
    <t>Communications equipment</t>
  </si>
  <si>
    <t>Industrial automation</t>
  </si>
  <si>
    <t>(34% of TI revenue)</t>
  </si>
  <si>
    <t>Aerospace &amp; defense</t>
  </si>
  <si>
    <t>Medical &amp; healthcare</t>
  </si>
  <si>
    <t>Energy infrastructure</t>
  </si>
  <si>
    <t>Building automation</t>
  </si>
  <si>
    <t>Other industrial equipment</t>
  </si>
  <si>
    <t>Test &amp; measurement</t>
  </si>
  <si>
    <t>Appliances</t>
  </si>
  <si>
    <t>Power delivery</t>
  </si>
  <si>
    <t>Robotics</t>
  </si>
  <si>
    <t>Infotainment &amp; cluster</t>
  </si>
  <si>
    <t>(35% of TI revenue)</t>
  </si>
  <si>
    <t>Advanced driver assistance systems (ADAS)</t>
  </si>
  <si>
    <t>Hybrid, electric &amp; powertrain systems</t>
  </si>
  <si>
    <t>Body electronics &amp; lighting</t>
  </si>
  <si>
    <t>Passive safety</t>
  </si>
  <si>
    <t>Enterprise systems</t>
  </si>
  <si>
    <t>Mobile phones</t>
  </si>
  <si>
    <t>(20% of TI revenue)</t>
  </si>
  <si>
    <t>PC &amp; notebooks</t>
  </si>
  <si>
    <t>Portable electronics</t>
  </si>
  <si>
    <t>Tablets</t>
  </si>
  <si>
    <t>Connected peripherals &amp; printers</t>
  </si>
  <si>
    <t>Home theater &amp; entertainment</t>
  </si>
  <si>
    <t>TV</t>
  </si>
  <si>
    <t>Wearables (non-medical)</t>
  </si>
  <si>
    <t>Gaming</t>
  </si>
  <si>
    <t>Data storage</t>
  </si>
  <si>
    <t>Data center &amp; enterprise computing</t>
  </si>
  <si>
    <t>(5% of TI revenue)</t>
  </si>
  <si>
    <t>Enterprise projectors</t>
  </si>
  <si>
    <t>Enterprise machine</t>
  </si>
  <si>
    <t>Wireless infrastructure</t>
  </si>
  <si>
    <t>(4% of TI revenue)</t>
  </si>
  <si>
    <t>Wired networking</t>
  </si>
  <si>
    <t>Broadband fixed line access</t>
  </si>
  <si>
    <t>Datacom module</t>
  </si>
  <si>
    <t>Sector</t>
  </si>
  <si>
    <t>(2% of TI revenue)</t>
  </si>
  <si>
    <t>China</t>
  </si>
  <si>
    <t>Rest of Asia</t>
  </si>
  <si>
    <t>EMEA</t>
  </si>
  <si>
    <t>Japan</t>
  </si>
  <si>
    <t>Rest of world</t>
  </si>
  <si>
    <t>U.S.</t>
  </si>
  <si>
    <t>Total</t>
  </si>
  <si>
    <t>Margin</t>
  </si>
  <si>
    <t>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</si>
</sst>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/mm/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9" fontId="0" fillId="0" borderId="0" xfId="0" applyNumberFormat="1" applyFont="1"/>
    <xf numFmtId="3" fontId="0" fillId="0" borderId="0" xfId="0" applyNumberFormat="1" applyFont="1"/>
    <xf numFmtId="3" fontId="2" fillId="0" borderId="0" xfId="0" applyNumberFormat="1" applyFont="1"/>
    <xf numFmtId="167" fontId="3" fillId="0" borderId="0" xfId="1" applyNumberForma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3" fillId="0" borderId="0" xfId="1"/>
    <xf numFmtId="3" fontId="0" fillId="0" borderId="0" xfId="0" applyNumberFormat="1" applyAlignment="1">
      <alignment horizontal="left" indent="1"/>
    </xf>
    <xf numFmtId="3" fontId="1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0</xdr:rowOff>
    </xdr:from>
    <xdr:to>
      <xdr:col>19</xdr:col>
      <xdr:colOff>19050</xdr:colOff>
      <xdr:row>88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854F33A-FA8B-0702-5AF7-67436BD46E4D}"/>
            </a:ext>
          </a:extLst>
        </xdr:cNvPr>
        <xdr:cNvCxnSpPr/>
      </xdr:nvCxnSpPr>
      <xdr:spPr>
        <a:xfrm>
          <a:off x="11496675" y="0"/>
          <a:ext cx="0" cy="96678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</xdr:colOff>
      <xdr:row>0</xdr:row>
      <xdr:rowOff>9525</xdr:rowOff>
    </xdr:from>
    <xdr:to>
      <xdr:col>33</xdr:col>
      <xdr:colOff>19050</xdr:colOff>
      <xdr:row>89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A423954-71DF-42B7-A217-71C1C1FD4A09}"/>
            </a:ext>
          </a:extLst>
        </xdr:cNvPr>
        <xdr:cNvCxnSpPr/>
      </xdr:nvCxnSpPr>
      <xdr:spPr>
        <a:xfrm>
          <a:off x="20031075" y="9525"/>
          <a:ext cx="0" cy="97059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28575</xdr:rowOff>
    </xdr:from>
    <xdr:to>
      <xdr:col>21</xdr:col>
      <xdr:colOff>9525</xdr:colOff>
      <xdr:row>43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7CD516-F2B9-7BA0-8697-2E63F196B7DD}"/>
            </a:ext>
          </a:extLst>
        </xdr:cNvPr>
        <xdr:cNvCxnSpPr/>
      </xdr:nvCxnSpPr>
      <xdr:spPr>
        <a:xfrm>
          <a:off x="12706350" y="28575"/>
          <a:ext cx="0" cy="6638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</xdr:colOff>
      <xdr:row>0</xdr:row>
      <xdr:rowOff>0</xdr:rowOff>
    </xdr:from>
    <xdr:to>
      <xdr:col>33</xdr:col>
      <xdr:colOff>19050</xdr:colOff>
      <xdr:row>43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97FB04-C385-42BD-818D-F01D4AA64170}"/>
            </a:ext>
          </a:extLst>
        </xdr:cNvPr>
        <xdr:cNvCxnSpPr/>
      </xdr:nvCxnSpPr>
      <xdr:spPr>
        <a:xfrm>
          <a:off x="20031075" y="0"/>
          <a:ext cx="0" cy="6638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64A2-C82B-4C9F-BDBE-F033EFEA9213}">
  <dimension ref="B2:M41"/>
  <sheetViews>
    <sheetView tabSelected="1" workbookViewId="0">
      <selection activeCell="I16" sqref="I16"/>
    </sheetView>
  </sheetViews>
  <sheetFormatPr defaultRowHeight="12.75" x14ac:dyDescent="0.2"/>
  <cols>
    <col min="1" max="1" width="5" bestFit="1" customWidth="1"/>
    <col min="2" max="2" width="16.5703125" customWidth="1"/>
  </cols>
  <sheetData>
    <row r="2" spans="2:13" x14ac:dyDescent="0.2">
      <c r="B2" s="16" t="s">
        <v>83</v>
      </c>
      <c r="C2" s="16" t="s">
        <v>126</v>
      </c>
    </row>
    <row r="3" spans="2:13" x14ac:dyDescent="0.2">
      <c r="B3" t="s">
        <v>84</v>
      </c>
      <c r="K3" t="s">
        <v>34</v>
      </c>
      <c r="L3" s="4">
        <v>152</v>
      </c>
    </row>
    <row r="4" spans="2:13" x14ac:dyDescent="0.2">
      <c r="B4" t="s">
        <v>89</v>
      </c>
      <c r="C4" s="15" t="s">
        <v>88</v>
      </c>
      <c r="K4" t="s">
        <v>12</v>
      </c>
      <c r="L4" s="1">
        <v>910</v>
      </c>
      <c r="M4" s="8" t="s">
        <v>42</v>
      </c>
    </row>
    <row r="5" spans="2:13" x14ac:dyDescent="0.2">
      <c r="C5" s="15" t="s">
        <v>90</v>
      </c>
      <c r="K5" t="s">
        <v>35</v>
      </c>
      <c r="L5" s="1">
        <f>+L3*L4</f>
        <v>138320</v>
      </c>
      <c r="M5" s="8"/>
    </row>
    <row r="6" spans="2:13" x14ac:dyDescent="0.2">
      <c r="C6" s="15" t="s">
        <v>91</v>
      </c>
      <c r="K6" t="s">
        <v>36</v>
      </c>
      <c r="L6" s="1">
        <f>2763+2242</f>
        <v>5005</v>
      </c>
      <c r="M6" s="8" t="s">
        <v>42</v>
      </c>
    </row>
    <row r="7" spans="2:13" x14ac:dyDescent="0.2">
      <c r="C7" s="15" t="s">
        <v>92</v>
      </c>
      <c r="K7" t="s">
        <v>37</v>
      </c>
      <c r="L7" s="1">
        <v>12848</v>
      </c>
      <c r="M7" s="8" t="s">
        <v>42</v>
      </c>
    </row>
    <row r="8" spans="2:13" x14ac:dyDescent="0.2">
      <c r="C8" s="15" t="s">
        <v>93</v>
      </c>
      <c r="K8" t="s">
        <v>38</v>
      </c>
      <c r="L8" s="1">
        <f>+L5-L6+L7</f>
        <v>146163</v>
      </c>
    </row>
    <row r="9" spans="2:13" x14ac:dyDescent="0.2">
      <c r="C9" s="15" t="s">
        <v>94</v>
      </c>
    </row>
    <row r="10" spans="2:13" x14ac:dyDescent="0.2">
      <c r="C10" s="15" t="s">
        <v>95</v>
      </c>
    </row>
    <row r="11" spans="2:13" x14ac:dyDescent="0.2">
      <c r="C11" s="15" t="s">
        <v>96</v>
      </c>
    </row>
    <row r="12" spans="2:13" x14ac:dyDescent="0.2">
      <c r="C12" s="15" t="s">
        <v>97</v>
      </c>
    </row>
    <row r="13" spans="2:13" x14ac:dyDescent="0.2">
      <c r="C13" s="15" t="s">
        <v>98</v>
      </c>
    </row>
    <row r="14" spans="2:13" x14ac:dyDescent="0.2">
      <c r="B14" t="s">
        <v>85</v>
      </c>
    </row>
    <row r="15" spans="2:13" x14ac:dyDescent="0.2">
      <c r="B15" t="s">
        <v>100</v>
      </c>
      <c r="C15" s="15" t="s">
        <v>99</v>
      </c>
    </row>
    <row r="16" spans="2:13" x14ac:dyDescent="0.2">
      <c r="C16" s="15" t="s">
        <v>101</v>
      </c>
    </row>
    <row r="17" spans="2:3" x14ac:dyDescent="0.2">
      <c r="C17" s="15" t="s">
        <v>102</v>
      </c>
    </row>
    <row r="18" spans="2:3" x14ac:dyDescent="0.2">
      <c r="C18" s="15" t="s">
        <v>103</v>
      </c>
    </row>
    <row r="19" spans="2:3" x14ac:dyDescent="0.2">
      <c r="C19" s="15" t="s">
        <v>104</v>
      </c>
    </row>
    <row r="20" spans="2:3" x14ac:dyDescent="0.2">
      <c r="B20" t="s">
        <v>86</v>
      </c>
    </row>
    <row r="21" spans="2:3" x14ac:dyDescent="0.2">
      <c r="B21" t="s">
        <v>107</v>
      </c>
      <c r="C21" s="15" t="s">
        <v>106</v>
      </c>
    </row>
    <row r="22" spans="2:3" x14ac:dyDescent="0.2">
      <c r="C22" s="15" t="s">
        <v>108</v>
      </c>
    </row>
    <row r="23" spans="2:3" x14ac:dyDescent="0.2">
      <c r="C23" s="15" t="s">
        <v>109</v>
      </c>
    </row>
    <row r="24" spans="2:3" x14ac:dyDescent="0.2">
      <c r="C24" s="15" t="s">
        <v>110</v>
      </c>
    </row>
    <row r="25" spans="2:3" x14ac:dyDescent="0.2">
      <c r="C25" s="15" t="s">
        <v>111</v>
      </c>
    </row>
    <row r="26" spans="2:3" x14ac:dyDescent="0.2">
      <c r="C26" s="15" t="s">
        <v>112</v>
      </c>
    </row>
    <row r="27" spans="2:3" x14ac:dyDescent="0.2">
      <c r="C27" s="15" t="s">
        <v>113</v>
      </c>
    </row>
    <row r="28" spans="2:3" x14ac:dyDescent="0.2">
      <c r="C28" s="15" t="s">
        <v>114</v>
      </c>
    </row>
    <row r="29" spans="2:3" x14ac:dyDescent="0.2">
      <c r="C29" s="15" t="s">
        <v>115</v>
      </c>
    </row>
    <row r="30" spans="2:3" x14ac:dyDescent="0.2">
      <c r="C30" s="15" t="s">
        <v>116</v>
      </c>
    </row>
    <row r="31" spans="2:3" x14ac:dyDescent="0.2">
      <c r="B31" t="s">
        <v>105</v>
      </c>
    </row>
    <row r="32" spans="2:3" x14ac:dyDescent="0.2">
      <c r="B32" t="s">
        <v>118</v>
      </c>
      <c r="C32" s="15" t="s">
        <v>117</v>
      </c>
    </row>
    <row r="33" spans="2:3" x14ac:dyDescent="0.2">
      <c r="C33" s="15" t="s">
        <v>119</v>
      </c>
    </row>
    <row r="34" spans="2:3" x14ac:dyDescent="0.2">
      <c r="C34" s="15" t="s">
        <v>120</v>
      </c>
    </row>
    <row r="35" spans="2:3" x14ac:dyDescent="0.2">
      <c r="B35" t="s">
        <v>87</v>
      </c>
    </row>
    <row r="36" spans="2:3" x14ac:dyDescent="0.2">
      <c r="B36" t="s">
        <v>122</v>
      </c>
      <c r="C36" s="15" t="s">
        <v>121</v>
      </c>
    </row>
    <row r="37" spans="2:3" x14ac:dyDescent="0.2">
      <c r="C37" s="15" t="s">
        <v>123</v>
      </c>
    </row>
    <row r="38" spans="2:3" x14ac:dyDescent="0.2">
      <c r="C38" s="15" t="s">
        <v>124</v>
      </c>
    </row>
    <row r="39" spans="2:3" x14ac:dyDescent="0.2">
      <c r="C39" s="15" t="s">
        <v>125</v>
      </c>
    </row>
    <row r="40" spans="2:3" x14ac:dyDescent="0.2">
      <c r="B40" t="s">
        <v>46</v>
      </c>
    </row>
    <row r="41" spans="2:3" x14ac:dyDescent="0.2">
      <c r="B41" t="s">
        <v>127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D284-165B-486F-8DE5-B278B5B6EF96}">
  <dimension ref="A1:AQ80"/>
  <sheetViews>
    <sheetView workbookViewId="0">
      <pane xSplit="2" ySplit="2" topLeftCell="J42" activePane="bottomRight" state="frozen"/>
      <selection pane="topRight" activeCell="B1" sqref="B1"/>
      <selection pane="bottomLeft" activeCell="A3" sqref="A3"/>
      <selection pane="bottomRight" activeCell="L61" sqref="L61"/>
    </sheetView>
  </sheetViews>
  <sheetFormatPr defaultRowHeight="12.75" x14ac:dyDescent="0.2"/>
  <cols>
    <col min="1" max="1" width="5" style="1" bestFit="1" customWidth="1"/>
    <col min="2" max="2" width="16.7109375" style="1" bestFit="1" customWidth="1"/>
    <col min="3" max="21" width="9.140625" style="1" customWidth="1"/>
    <col min="22" max="22" width="9.140625" style="1"/>
    <col min="23" max="43" width="9.140625" style="1" customWidth="1"/>
    <col min="44" max="16384" width="9.140625" style="1"/>
  </cols>
  <sheetData>
    <row r="1" spans="1:43" s="7" customFormat="1" x14ac:dyDescent="0.2">
      <c r="A1" s="13" t="s">
        <v>82</v>
      </c>
      <c r="K1" s="7">
        <v>45016</v>
      </c>
      <c r="L1" s="7">
        <v>45107</v>
      </c>
      <c r="M1" s="7">
        <v>45199</v>
      </c>
      <c r="N1" s="7">
        <v>45291</v>
      </c>
      <c r="O1" s="7">
        <v>45382</v>
      </c>
      <c r="P1" s="7">
        <v>45473</v>
      </c>
      <c r="Q1" s="7">
        <v>45565</v>
      </c>
      <c r="R1" s="7">
        <v>45657</v>
      </c>
      <c r="S1" s="7">
        <v>45747</v>
      </c>
    </row>
    <row r="2" spans="1:43" x14ac:dyDescent="0.2">
      <c r="B2" s="2"/>
      <c r="C2" s="2" t="s">
        <v>18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19</v>
      </c>
      <c r="I2" s="2" t="s">
        <v>20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42</v>
      </c>
      <c r="T2" s="2" t="s">
        <v>43</v>
      </c>
      <c r="U2" s="2" t="s">
        <v>44</v>
      </c>
      <c r="W2">
        <v>2014</v>
      </c>
      <c r="X2">
        <f>+W2+1</f>
        <v>2015</v>
      </c>
      <c r="Y2">
        <f t="shared" ref="Y2:AQ2" si="0">+X2+1</f>
        <v>2016</v>
      </c>
      <c r="Z2">
        <f t="shared" si="0"/>
        <v>2017</v>
      </c>
      <c r="AA2">
        <f t="shared" si="0"/>
        <v>2018</v>
      </c>
      <c r="AB2">
        <f t="shared" si="0"/>
        <v>2019</v>
      </c>
      <c r="AC2">
        <f t="shared" si="0"/>
        <v>2020</v>
      </c>
      <c r="AD2">
        <f t="shared" si="0"/>
        <v>2021</v>
      </c>
      <c r="AE2">
        <f t="shared" si="0"/>
        <v>2022</v>
      </c>
      <c r="AF2">
        <f t="shared" si="0"/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 t="shared" si="0"/>
        <v>2027</v>
      </c>
      <c r="AK2">
        <f t="shared" si="0"/>
        <v>2028</v>
      </c>
      <c r="AL2">
        <f t="shared" si="0"/>
        <v>2029</v>
      </c>
      <c r="AM2">
        <f t="shared" si="0"/>
        <v>2030</v>
      </c>
      <c r="AN2">
        <f t="shared" si="0"/>
        <v>2031</v>
      </c>
      <c r="AO2">
        <f t="shared" si="0"/>
        <v>2032</v>
      </c>
      <c r="AP2">
        <f t="shared" si="0"/>
        <v>2033</v>
      </c>
      <c r="AQ2">
        <f t="shared" si="0"/>
        <v>2034</v>
      </c>
    </row>
    <row r="3" spans="1:43" x14ac:dyDescent="0.2">
      <c r="B3" s="9" t="s">
        <v>45</v>
      </c>
      <c r="C3" s="2"/>
      <c r="D3" s="2"/>
      <c r="E3" s="2"/>
      <c r="F3" s="2"/>
      <c r="G3" s="2"/>
      <c r="H3" s="2"/>
      <c r="I3" s="2"/>
      <c r="J3" s="2"/>
      <c r="K3" s="2">
        <v>3289</v>
      </c>
      <c r="L3" s="2">
        <v>3278</v>
      </c>
      <c r="M3" s="2">
        <v>3353</v>
      </c>
      <c r="N3" s="2">
        <v>3120</v>
      </c>
      <c r="O3" s="2">
        <v>2836</v>
      </c>
      <c r="P3" s="2">
        <v>2928</v>
      </c>
      <c r="Q3" s="2">
        <v>3223</v>
      </c>
      <c r="R3" s="2">
        <v>3174</v>
      </c>
      <c r="S3" s="2">
        <v>3210</v>
      </c>
      <c r="T3" s="2"/>
      <c r="U3" s="2"/>
      <c r="AF3" s="1">
        <v>13040</v>
      </c>
      <c r="AG3" s="1">
        <v>12161</v>
      </c>
    </row>
    <row r="4" spans="1:43" x14ac:dyDescent="0.2">
      <c r="B4" s="9" t="s">
        <v>47</v>
      </c>
      <c r="C4" s="2"/>
      <c r="D4" s="2"/>
      <c r="E4" s="2"/>
      <c r="F4" s="2"/>
      <c r="G4" s="2"/>
      <c r="H4" s="2"/>
      <c r="I4" s="2"/>
      <c r="J4" s="2"/>
      <c r="K4" s="2">
        <v>832</v>
      </c>
      <c r="L4" s="2">
        <v>894</v>
      </c>
      <c r="M4" s="2">
        <v>890</v>
      </c>
      <c r="N4" s="2">
        <v>752</v>
      </c>
      <c r="O4" s="2">
        <v>652</v>
      </c>
      <c r="P4" s="2">
        <v>615</v>
      </c>
      <c r="Q4" s="2">
        <v>653</v>
      </c>
      <c r="R4" s="2">
        <v>613</v>
      </c>
      <c r="S4" s="2">
        <v>647</v>
      </c>
      <c r="T4" s="2"/>
      <c r="U4" s="2"/>
      <c r="AF4" s="1">
        <v>3368</v>
      </c>
      <c r="AG4" s="1">
        <v>2533</v>
      </c>
    </row>
    <row r="5" spans="1:43" x14ac:dyDescent="0.2">
      <c r="B5" s="9" t="s">
        <v>46</v>
      </c>
      <c r="C5" s="2"/>
      <c r="D5" s="2"/>
      <c r="E5" s="2"/>
      <c r="F5" s="2"/>
      <c r="G5" s="2"/>
      <c r="H5" s="2"/>
      <c r="I5" s="2"/>
      <c r="J5" s="2"/>
      <c r="K5" s="2">
        <v>258</v>
      </c>
      <c r="L5" s="2">
        <v>359</v>
      </c>
      <c r="M5" s="2">
        <v>289</v>
      </c>
      <c r="N5" s="2">
        <v>205</v>
      </c>
      <c r="O5" s="2">
        <v>173</v>
      </c>
      <c r="P5" s="2">
        <v>279</v>
      </c>
      <c r="Q5" s="2">
        <v>275</v>
      </c>
      <c r="R5" s="2">
        <v>220</v>
      </c>
      <c r="S5" s="2">
        <v>212</v>
      </c>
      <c r="T5" s="2"/>
      <c r="U5" s="2"/>
      <c r="AF5" s="1">
        <v>1111</v>
      </c>
      <c r="AG5" s="1">
        <v>947</v>
      </c>
    </row>
    <row r="6" spans="1:43" s="5" customFormat="1" x14ac:dyDescent="0.2">
      <c r="B6" s="5" t="s">
        <v>0</v>
      </c>
      <c r="K6" s="5">
        <v>4379</v>
      </c>
      <c r="L6" s="5">
        <v>4531</v>
      </c>
      <c r="M6" s="5">
        <v>4532</v>
      </c>
      <c r="N6" s="5">
        <f>+AF6-SUM(K6:M6)</f>
        <v>4077</v>
      </c>
      <c r="O6" s="5">
        <v>3661</v>
      </c>
      <c r="P6" s="5">
        <v>3822</v>
      </c>
      <c r="Q6" s="5">
        <v>4151</v>
      </c>
      <c r="R6" s="5">
        <f>+AG6-SUM(O6:Q6)</f>
        <v>4007</v>
      </c>
      <c r="S6" s="5">
        <v>4069</v>
      </c>
      <c r="AE6" s="5">
        <v>20028</v>
      </c>
      <c r="AF6" s="5">
        <v>17519</v>
      </c>
      <c r="AG6" s="5">
        <v>15641</v>
      </c>
    </row>
    <row r="7" spans="1:43" x14ac:dyDescent="0.2">
      <c r="B7" s="1" t="s">
        <v>1</v>
      </c>
      <c r="K7" s="1">
        <v>1516</v>
      </c>
      <c r="L7" s="1">
        <v>1621</v>
      </c>
      <c r="M7" s="1">
        <v>1717</v>
      </c>
      <c r="N7" s="11">
        <f>+AF7-SUM(K7:M7)</f>
        <v>1646</v>
      </c>
      <c r="O7" s="1">
        <v>1566</v>
      </c>
      <c r="P7" s="1">
        <v>1611</v>
      </c>
      <c r="Q7" s="1">
        <v>1677</v>
      </c>
      <c r="R7" s="11">
        <f>+AG7-SUM(O7:Q7)</f>
        <v>1693</v>
      </c>
      <c r="S7" s="1">
        <v>1756</v>
      </c>
      <c r="AE7" s="1">
        <v>6257</v>
      </c>
      <c r="AF7" s="1">
        <v>6500</v>
      </c>
      <c r="AG7" s="1">
        <v>6547</v>
      </c>
    </row>
    <row r="8" spans="1:43" x14ac:dyDescent="0.2">
      <c r="B8" s="1" t="s">
        <v>2</v>
      </c>
      <c r="K8" s="1">
        <f>+K6-K7</f>
        <v>2863</v>
      </c>
      <c r="L8" s="1">
        <f>+L6-L7</f>
        <v>2910</v>
      </c>
      <c r="M8" s="1">
        <f>+M6-M7</f>
        <v>2815</v>
      </c>
      <c r="N8" s="1">
        <f>+N6-N7</f>
        <v>2431</v>
      </c>
      <c r="O8" s="1">
        <f>+O6-O7</f>
        <v>2095</v>
      </c>
      <c r="P8" s="1">
        <f>+P6-P7</f>
        <v>2211</v>
      </c>
      <c r="Q8" s="1">
        <f>+Q6-Q7</f>
        <v>2474</v>
      </c>
      <c r="R8" s="1">
        <f>+R6-R7</f>
        <v>2314</v>
      </c>
      <c r="S8" s="1">
        <f>+S6-S7</f>
        <v>2313</v>
      </c>
      <c r="AE8" s="1">
        <f>+AE6-AE7</f>
        <v>13771</v>
      </c>
      <c r="AF8" s="1">
        <f>+AF6-AF7</f>
        <v>11019</v>
      </c>
      <c r="AG8" s="1">
        <f>+AG6-AG7</f>
        <v>9094</v>
      </c>
    </row>
    <row r="9" spans="1:43" x14ac:dyDescent="0.2">
      <c r="B9" s="1" t="s">
        <v>4</v>
      </c>
      <c r="K9" s="1">
        <v>455</v>
      </c>
      <c r="L9" s="1">
        <v>477</v>
      </c>
      <c r="M9" s="1">
        <v>471</v>
      </c>
      <c r="N9" s="11">
        <f t="shared" ref="N9:N10" si="1">+AF9-SUM(K9:M9)</f>
        <v>460</v>
      </c>
      <c r="O9" s="1">
        <v>478</v>
      </c>
      <c r="P9" s="1">
        <v>498</v>
      </c>
      <c r="Q9" s="1">
        <v>492</v>
      </c>
      <c r="R9" s="11">
        <f t="shared" ref="R9:R10" si="2">+AG9-SUM(O9:Q9)</f>
        <v>491</v>
      </c>
      <c r="S9" s="1">
        <v>517</v>
      </c>
      <c r="AE9" s="1">
        <v>1670</v>
      </c>
      <c r="AF9" s="1">
        <v>1863</v>
      </c>
      <c r="AG9" s="1">
        <v>1959</v>
      </c>
    </row>
    <row r="10" spans="1:43" x14ac:dyDescent="0.2">
      <c r="B10" s="1" t="s">
        <v>3</v>
      </c>
      <c r="K10" s="1">
        <v>474</v>
      </c>
      <c r="L10" s="1">
        <v>461</v>
      </c>
      <c r="M10" s="1">
        <v>452</v>
      </c>
      <c r="N10" s="11">
        <f t="shared" si="1"/>
        <v>438</v>
      </c>
      <c r="O10" s="1">
        <v>455</v>
      </c>
      <c r="P10" s="1">
        <v>465</v>
      </c>
      <c r="Q10" s="1">
        <v>428</v>
      </c>
      <c r="R10" s="11">
        <f t="shared" si="2"/>
        <v>446</v>
      </c>
      <c r="S10" s="1">
        <v>472</v>
      </c>
      <c r="AE10" s="1">
        <v>1704</v>
      </c>
      <c r="AF10" s="1">
        <v>1825</v>
      </c>
      <c r="AG10" s="1">
        <v>1794</v>
      </c>
    </row>
    <row r="11" spans="1:43" x14ac:dyDescent="0.2">
      <c r="B11" s="1" t="s">
        <v>5</v>
      </c>
      <c r="K11" s="1">
        <f>+SUM(K9:K10)</f>
        <v>929</v>
      </c>
      <c r="L11" s="1">
        <f>+SUM(L9:L10)</f>
        <v>938</v>
      </c>
      <c r="M11" s="1">
        <f>+SUM(M9:M10)</f>
        <v>923</v>
      </c>
      <c r="N11" s="1">
        <f>+SUM(N9:N10)</f>
        <v>898</v>
      </c>
      <c r="O11" s="1">
        <f>+SUM(O9:O10)</f>
        <v>933</v>
      </c>
      <c r="P11" s="1">
        <f>+SUM(P9:P10)</f>
        <v>963</v>
      </c>
      <c r="Q11" s="1">
        <f>+SUM(Q9:Q10)</f>
        <v>920</v>
      </c>
      <c r="R11" s="1">
        <f>+SUM(R9:R10)</f>
        <v>937</v>
      </c>
      <c r="S11" s="1">
        <f>+SUM(S9:S10)</f>
        <v>989</v>
      </c>
      <c r="AE11" s="1">
        <f>+SUM(AE9:AE10)</f>
        <v>3374</v>
      </c>
      <c r="AF11" s="1">
        <f>+SUM(AF9:AF10)</f>
        <v>3688</v>
      </c>
      <c r="AG11" s="1">
        <f>+SUM(AG9:AG10)</f>
        <v>3753</v>
      </c>
    </row>
    <row r="12" spans="1:43" s="5" customFormat="1" x14ac:dyDescent="0.2">
      <c r="B12" s="5" t="s">
        <v>6</v>
      </c>
      <c r="K12" s="5">
        <f>+K8-K11</f>
        <v>1934</v>
      </c>
      <c r="L12" s="5">
        <f>+L8-L11</f>
        <v>1972</v>
      </c>
      <c r="M12" s="5">
        <f>+M8-M11</f>
        <v>1892</v>
      </c>
      <c r="N12" s="5">
        <f>+N8-N11</f>
        <v>1533</v>
      </c>
      <c r="O12" s="5">
        <f>+O8-O11</f>
        <v>1162</v>
      </c>
      <c r="P12" s="5">
        <f>+P8-P11</f>
        <v>1248</v>
      </c>
      <c r="Q12" s="5">
        <f>+Q8-Q11</f>
        <v>1554</v>
      </c>
      <c r="R12" s="5">
        <f>+R8-R11</f>
        <v>1377</v>
      </c>
      <c r="S12" s="5">
        <f>+S8-S11</f>
        <v>1324</v>
      </c>
      <c r="AE12" s="5">
        <f>+AE8-AE11</f>
        <v>10397</v>
      </c>
      <c r="AF12" s="5">
        <f>+AF8-AF11</f>
        <v>7331</v>
      </c>
      <c r="AG12" s="5">
        <f>+AG8-AG11</f>
        <v>5341</v>
      </c>
    </row>
    <row r="13" spans="1:43" x14ac:dyDescent="0.2">
      <c r="B13" s="1" t="s">
        <v>7</v>
      </c>
      <c r="K13" s="1">
        <v>68</v>
      </c>
      <c r="L13" s="1">
        <v>89</v>
      </c>
      <c r="M13" s="1">
        <v>98</v>
      </c>
      <c r="N13" s="11">
        <f t="shared" ref="N13" si="3">+AF13-SUM(K13:M13)</f>
        <v>98</v>
      </c>
      <c r="O13" s="1">
        <v>116</v>
      </c>
      <c r="P13" s="1">
        <v>131</v>
      </c>
      <c r="Q13" s="1">
        <v>131</v>
      </c>
      <c r="R13" s="1">
        <v>131</v>
      </c>
      <c r="S13" s="1">
        <f>128</f>
        <v>128</v>
      </c>
      <c r="AE13" s="1">
        <v>214</v>
      </c>
      <c r="AF13" s="1">
        <v>353</v>
      </c>
      <c r="AG13" s="1">
        <v>508</v>
      </c>
    </row>
    <row r="14" spans="1:43" x14ac:dyDescent="0.2">
      <c r="B14" s="1" t="s">
        <v>8</v>
      </c>
      <c r="K14" s="1">
        <f>+K12-K13</f>
        <v>1866</v>
      </c>
      <c r="L14" s="1">
        <f>+L12-L13</f>
        <v>1883</v>
      </c>
      <c r="M14" s="1">
        <f>+M12-M13</f>
        <v>1794</v>
      </c>
      <c r="N14" s="1">
        <f>+N12-N13</f>
        <v>1435</v>
      </c>
      <c r="O14" s="1">
        <f>+O12-O13</f>
        <v>1046</v>
      </c>
      <c r="P14" s="1">
        <f>+P12-P13</f>
        <v>1117</v>
      </c>
      <c r="Q14" s="1">
        <f>+Q12-Q13</f>
        <v>1423</v>
      </c>
      <c r="R14" s="1">
        <f>+R12-R13</f>
        <v>1246</v>
      </c>
      <c r="S14" s="1">
        <f>+S12-S13</f>
        <v>1196</v>
      </c>
      <c r="AE14" s="1">
        <f>+AE12-AE13</f>
        <v>10183</v>
      </c>
      <c r="AF14" s="1">
        <f>+AF12-AF13</f>
        <v>6978</v>
      </c>
      <c r="AG14" s="1">
        <f>+AG12-AG13</f>
        <v>4833</v>
      </c>
    </row>
    <row r="15" spans="1:43" x14ac:dyDescent="0.2">
      <c r="B15" s="1" t="s">
        <v>9</v>
      </c>
      <c r="K15" s="1">
        <v>238</v>
      </c>
      <c r="L15" s="1">
        <v>280</v>
      </c>
      <c r="M15" s="1">
        <v>213</v>
      </c>
      <c r="N15" s="11">
        <f t="shared" ref="N15" si="4">+AF15-SUM(K15:M15)</f>
        <v>177</v>
      </c>
      <c r="O15" s="1">
        <v>188</v>
      </c>
      <c r="P15" s="1">
        <v>120</v>
      </c>
      <c r="Q15" s="1">
        <v>192</v>
      </c>
      <c r="R15" s="1">
        <v>131</v>
      </c>
      <c r="S15" s="1">
        <v>97</v>
      </c>
      <c r="AE15" s="1">
        <v>1283</v>
      </c>
      <c r="AF15" s="1">
        <v>908</v>
      </c>
      <c r="AG15" s="1">
        <v>654</v>
      </c>
    </row>
    <row r="16" spans="1:43" s="5" customFormat="1" x14ac:dyDescent="0.2">
      <c r="B16" s="5" t="s">
        <v>10</v>
      </c>
      <c r="K16" s="5">
        <f>+K14-K15</f>
        <v>1628</v>
      </c>
      <c r="L16" s="5">
        <f>+L14-L15</f>
        <v>1603</v>
      </c>
      <c r="M16" s="5">
        <f>+M14-M15</f>
        <v>1581</v>
      </c>
      <c r="N16" s="5">
        <f>+N14-N15</f>
        <v>1258</v>
      </c>
      <c r="O16" s="5">
        <f>+O14-O15</f>
        <v>858</v>
      </c>
      <c r="P16" s="5">
        <f>+P14-P15</f>
        <v>997</v>
      </c>
      <c r="Q16" s="5">
        <f>+Q14-Q15</f>
        <v>1231</v>
      </c>
      <c r="R16" s="5">
        <f>+R14-R15</f>
        <v>1115</v>
      </c>
      <c r="S16" s="5">
        <f>+S14-S15</f>
        <v>1099</v>
      </c>
      <c r="AE16" s="5">
        <f>+AE14-AE15</f>
        <v>8900</v>
      </c>
      <c r="AF16" s="5">
        <f>+AF14-AF15</f>
        <v>6070</v>
      </c>
      <c r="AG16" s="5">
        <f>+AG14-AG15</f>
        <v>4179</v>
      </c>
    </row>
    <row r="17" spans="2:33" s="4" customFormat="1" x14ac:dyDescent="0.2">
      <c r="B17" s="4" t="s">
        <v>11</v>
      </c>
      <c r="K17" s="4">
        <f>+K16/K18</f>
        <v>1.777292576419214</v>
      </c>
      <c r="L17" s="4">
        <f>+L16/L18</f>
        <v>1.75</v>
      </c>
      <c r="M17" s="4">
        <f>+M16/M18</f>
        <v>1.7259825327510918</v>
      </c>
      <c r="N17" s="4">
        <f>+N16/N18</f>
        <v>1.3733624454148472</v>
      </c>
      <c r="O17" s="4">
        <f>+O16/O18</f>
        <v>0.93565976008724105</v>
      </c>
      <c r="P17" s="4">
        <f>+P16/P18</f>
        <v>1.0848748639825898</v>
      </c>
      <c r="Q17" s="4">
        <f>+Q16/Q18</f>
        <v>1.3380434782608697</v>
      </c>
      <c r="R17" s="4">
        <f>+R16/R18</f>
        <v>1.2119565217391304</v>
      </c>
      <c r="S17" s="4">
        <f>+S16/S18</f>
        <v>1.1997816593886463</v>
      </c>
      <c r="AE17" s="4">
        <f>+AE16/AE18</f>
        <v>9.6112311015118799</v>
      </c>
      <c r="AF17" s="4">
        <f>+AF16/AF18</f>
        <v>6.6266375545851526</v>
      </c>
      <c r="AG17" s="4">
        <f>+AG16/AG18</f>
        <v>4.547334058759521</v>
      </c>
    </row>
    <row r="18" spans="2:33" x14ac:dyDescent="0.2">
      <c r="B18" s="1" t="s">
        <v>12</v>
      </c>
      <c r="K18" s="1">
        <v>916</v>
      </c>
      <c r="L18" s="1">
        <v>916</v>
      </c>
      <c r="M18" s="1">
        <v>916</v>
      </c>
      <c r="N18" s="1">
        <f>+AF18*4-SUM(K18:M18)</f>
        <v>916</v>
      </c>
      <c r="O18" s="1">
        <v>917</v>
      </c>
      <c r="P18" s="1">
        <v>919</v>
      </c>
      <c r="Q18" s="1">
        <v>920</v>
      </c>
      <c r="R18" s="1">
        <f>+AG18*4-SUM(O18:Q18)</f>
        <v>920</v>
      </c>
      <c r="S18" s="1">
        <v>916</v>
      </c>
      <c r="AE18" s="1">
        <v>926</v>
      </c>
      <c r="AF18" s="1">
        <v>916</v>
      </c>
      <c r="AG18" s="1">
        <v>919</v>
      </c>
    </row>
    <row r="20" spans="2:33" s="3" customFormat="1" x14ac:dyDescent="0.2">
      <c r="B20" s="3" t="s">
        <v>13</v>
      </c>
      <c r="K20" s="3">
        <f>+K8/K6</f>
        <v>0.65380223795387071</v>
      </c>
      <c r="L20" s="3">
        <f>+L8/L6</f>
        <v>0.64224233061134406</v>
      </c>
      <c r="M20" s="3">
        <f>+M8/M6</f>
        <v>0.62113857016769636</v>
      </c>
      <c r="N20" s="3">
        <f>+N8/N6</f>
        <v>0.59627176845719887</v>
      </c>
      <c r="O20" s="3">
        <f>+O8/O6</f>
        <v>0.57224801966675776</v>
      </c>
      <c r="P20" s="3">
        <f>+P8/P6</f>
        <v>0.57849293563579274</v>
      </c>
      <c r="Q20" s="3">
        <f>+Q8/Q6</f>
        <v>0.5960009636232233</v>
      </c>
      <c r="R20" s="3">
        <f>+R8/R6</f>
        <v>0.57748939356126783</v>
      </c>
      <c r="S20" s="3">
        <f>+S8/S6</f>
        <v>0.56844433521749815</v>
      </c>
      <c r="AE20" s="3">
        <f>+AE8/AE6</f>
        <v>0.68758737767126021</v>
      </c>
      <c r="AF20" s="3">
        <f>+AF8/AF6</f>
        <v>0.62897425652149097</v>
      </c>
      <c r="AG20" s="3">
        <f>+AG8/AG6</f>
        <v>0.58142062527971361</v>
      </c>
    </row>
    <row r="21" spans="2:33" s="3" customFormat="1" x14ac:dyDescent="0.2">
      <c r="B21" s="3" t="s">
        <v>14</v>
      </c>
      <c r="K21" s="3">
        <f>+K12/K6</f>
        <v>0.4416533455126741</v>
      </c>
      <c r="L21" s="3">
        <f>+L12/L6</f>
        <v>0.43522401235930258</v>
      </c>
      <c r="M21" s="3">
        <f>+M12/M6</f>
        <v>0.41747572815533979</v>
      </c>
      <c r="N21" s="3">
        <f>+N12/N6</f>
        <v>0.37601177336276675</v>
      </c>
      <c r="O21" s="3">
        <f>+O12/O6</f>
        <v>0.31739961759082219</v>
      </c>
      <c r="P21" s="3">
        <f>+P12/P6</f>
        <v>0.32653061224489793</v>
      </c>
      <c r="Q21" s="3">
        <f>+Q12/Q6</f>
        <v>0.37436762225969644</v>
      </c>
      <c r="R21" s="3">
        <f>+R12/R6</f>
        <v>0.34364861492388321</v>
      </c>
      <c r="S21" s="3">
        <f>+S12/S6</f>
        <v>0.32538707299090686</v>
      </c>
      <c r="AE21" s="3">
        <f>+AE12/AE6</f>
        <v>0.51912322748152584</v>
      </c>
      <c r="AF21" s="3">
        <f>+AF12/AF6</f>
        <v>0.41845995776014611</v>
      </c>
      <c r="AG21" s="3">
        <f>+AG12/AG6</f>
        <v>0.34147433028578733</v>
      </c>
    </row>
    <row r="22" spans="2:33" s="3" customFormat="1" x14ac:dyDescent="0.2">
      <c r="B22" s="3" t="s">
        <v>15</v>
      </c>
      <c r="K22" s="3">
        <f>+K16/K6</f>
        <v>0.37177437771180633</v>
      </c>
      <c r="L22" s="3">
        <f>+L16/L6</f>
        <v>0.35378503641580228</v>
      </c>
      <c r="M22" s="3">
        <f>+M16/M6</f>
        <v>0.34885260370697263</v>
      </c>
      <c r="N22" s="3">
        <f>+N16/N6</f>
        <v>0.30856021584498405</v>
      </c>
      <c r="O22" s="3">
        <f>+O16/O6</f>
        <v>0.23436219612127834</v>
      </c>
      <c r="P22" s="3">
        <f>+P16/P6</f>
        <v>0.26085818942961803</v>
      </c>
      <c r="Q22" s="3">
        <f>+Q16/Q6</f>
        <v>0.29655504697663215</v>
      </c>
      <c r="R22" s="3">
        <f>+R16/R6</f>
        <v>0.27826303968055904</v>
      </c>
      <c r="S22" s="3">
        <f>+S16/S6</f>
        <v>0.27009093143278445</v>
      </c>
      <c r="AE22" s="3">
        <f>+AE16/AE6</f>
        <v>0.44437787098062714</v>
      </c>
      <c r="AF22" s="3">
        <f>+AF16/AF6</f>
        <v>0.34648096352531538</v>
      </c>
      <c r="AG22" s="3">
        <f>+AG16/AG6</f>
        <v>0.26718240521705772</v>
      </c>
    </row>
    <row r="23" spans="2:33" s="3" customFormat="1" x14ac:dyDescent="0.2">
      <c r="B23" s="3" t="s">
        <v>16</v>
      </c>
      <c r="K23" s="3">
        <f>+K15/K14</f>
        <v>0.12754555198285103</v>
      </c>
      <c r="L23" s="3">
        <f>+L15/L14</f>
        <v>0.14869888475836432</v>
      </c>
      <c r="M23" s="3">
        <f>+M15/M14</f>
        <v>0.11872909698996656</v>
      </c>
      <c r="N23" s="3">
        <f>+N15/N14</f>
        <v>0.12334494773519164</v>
      </c>
      <c r="O23" s="3">
        <f>+O15/O14</f>
        <v>0.17973231357552583</v>
      </c>
      <c r="P23" s="3">
        <f>+P15/P14</f>
        <v>0.10743061772605192</v>
      </c>
      <c r="Q23" s="3">
        <f>+Q15/Q14</f>
        <v>0.13492621222768797</v>
      </c>
      <c r="R23" s="3">
        <f>+R15/R14</f>
        <v>0.10513643659711075</v>
      </c>
      <c r="S23" s="3">
        <f>+S15/S14</f>
        <v>8.1103678929765888E-2</v>
      </c>
      <c r="AE23" s="3">
        <f>+AE15/AE14</f>
        <v>0.12599430423254443</v>
      </c>
      <c r="AF23" s="3">
        <f>+AF15/AF14</f>
        <v>0.1301232444826598</v>
      </c>
      <c r="AG23" s="3">
        <f>+AG15/AG14</f>
        <v>0.13531967721911856</v>
      </c>
    </row>
    <row r="24" spans="2:33" s="3" customFormat="1" x14ac:dyDescent="0.2"/>
    <row r="25" spans="2:33" s="6" customFormat="1" x14ac:dyDescent="0.2">
      <c r="B25" s="6" t="s">
        <v>17</v>
      </c>
      <c r="K25" s="6" t="e">
        <f>+K6/G6-1</f>
        <v>#DIV/0!</v>
      </c>
      <c r="L25" s="6" t="e">
        <f>+L6/H6-1</f>
        <v>#DIV/0!</v>
      </c>
      <c r="M25" s="6" t="e">
        <f>+M6/I6-1</f>
        <v>#DIV/0!</v>
      </c>
      <c r="N25" s="6" t="e">
        <f>+N6/J6-1</f>
        <v>#DIV/0!</v>
      </c>
      <c r="O25" s="6">
        <f>+O6/K6-1</f>
        <v>-0.16396437542817999</v>
      </c>
      <c r="P25" s="6">
        <f>+P6/L6-1</f>
        <v>-0.15647759876406975</v>
      </c>
      <c r="Q25" s="6">
        <f>+Q6/M6-1</f>
        <v>-8.4068843777581614E-2</v>
      </c>
      <c r="R25" s="6">
        <f>+R6/N6-1</f>
        <v>-1.7169487368162817E-2</v>
      </c>
      <c r="S25" s="6">
        <f>+S6/O6-1</f>
        <v>0.11144496039333518</v>
      </c>
      <c r="X25" s="6" t="e">
        <f t="shared" ref="X25:AF25" si="5">+X6/W6-1</f>
        <v>#DIV/0!</v>
      </c>
      <c r="Y25" s="6" t="e">
        <f t="shared" si="5"/>
        <v>#DIV/0!</v>
      </c>
      <c r="Z25" s="6" t="e">
        <f t="shared" si="5"/>
        <v>#DIV/0!</v>
      </c>
      <c r="AA25" s="6" t="e">
        <f t="shared" si="5"/>
        <v>#DIV/0!</v>
      </c>
      <c r="AB25" s="6" t="e">
        <f t="shared" si="5"/>
        <v>#DIV/0!</v>
      </c>
      <c r="AC25" s="6" t="e">
        <f t="shared" si="5"/>
        <v>#DIV/0!</v>
      </c>
      <c r="AD25" s="6" t="e">
        <f t="shared" si="5"/>
        <v>#DIV/0!</v>
      </c>
      <c r="AE25" s="6" t="e">
        <f t="shared" si="5"/>
        <v>#DIV/0!</v>
      </c>
      <c r="AF25" s="6">
        <f t="shared" si="5"/>
        <v>-0.12527461553824648</v>
      </c>
      <c r="AG25" s="6">
        <f>+AG6/AF6-1</f>
        <v>-0.10719789942348312</v>
      </c>
    </row>
    <row r="26" spans="2:33" s="6" customFormat="1" x14ac:dyDescent="0.2"/>
    <row r="27" spans="2:33" s="11" customFormat="1" x14ac:dyDescent="0.2">
      <c r="B27" s="11" t="s">
        <v>48</v>
      </c>
      <c r="R27" s="11">
        <f>+R28-R39</f>
        <v>-6016</v>
      </c>
      <c r="S27" s="11">
        <f>+S28-S39</f>
        <v>-7843</v>
      </c>
      <c r="AG27" s="11">
        <f>+AG28-AG39</f>
        <v>-6016</v>
      </c>
    </row>
    <row r="28" spans="2:33" s="11" customFormat="1" x14ac:dyDescent="0.2">
      <c r="B28" s="11" t="s">
        <v>36</v>
      </c>
      <c r="R28" s="11">
        <f>3200+4380</f>
        <v>7580</v>
      </c>
      <c r="S28" s="11">
        <f>2763+2242</f>
        <v>5005</v>
      </c>
      <c r="AG28" s="11">
        <f>3200+4380</f>
        <v>7580</v>
      </c>
    </row>
    <row r="29" spans="2:33" s="11" customFormat="1" x14ac:dyDescent="0.2">
      <c r="B29" s="11" t="s">
        <v>49</v>
      </c>
      <c r="R29" s="11">
        <v>1719</v>
      </c>
      <c r="S29" s="11">
        <v>1860</v>
      </c>
      <c r="AG29" s="11">
        <v>1719</v>
      </c>
    </row>
    <row r="30" spans="2:33" s="11" customFormat="1" x14ac:dyDescent="0.2">
      <c r="B30" s="11" t="s">
        <v>50</v>
      </c>
      <c r="R30" s="11">
        <v>4527</v>
      </c>
      <c r="S30" s="11">
        <v>4687</v>
      </c>
      <c r="AG30" s="11">
        <v>4527</v>
      </c>
    </row>
    <row r="31" spans="2:33" s="11" customFormat="1" x14ac:dyDescent="0.2">
      <c r="B31" s="11" t="s">
        <v>51</v>
      </c>
      <c r="M31" s="12"/>
      <c r="R31" s="11">
        <v>1200</v>
      </c>
      <c r="S31" s="11">
        <v>1534</v>
      </c>
      <c r="AG31" s="11">
        <v>1200</v>
      </c>
    </row>
    <row r="32" spans="2:33" s="11" customFormat="1" x14ac:dyDescent="0.2">
      <c r="B32" s="11" t="s">
        <v>52</v>
      </c>
      <c r="R32" s="11">
        <v>11347</v>
      </c>
      <c r="S32" s="11">
        <v>11811</v>
      </c>
      <c r="AG32" s="11">
        <v>11347</v>
      </c>
    </row>
    <row r="33" spans="2:33" s="11" customFormat="1" x14ac:dyDescent="0.2">
      <c r="B33" s="11" t="s">
        <v>53</v>
      </c>
      <c r="R33" s="11">
        <v>4362</v>
      </c>
      <c r="S33" s="11">
        <v>4362</v>
      </c>
      <c r="AG33" s="11">
        <v>4362</v>
      </c>
    </row>
    <row r="34" spans="2:33" s="11" customFormat="1" x14ac:dyDescent="0.2">
      <c r="B34" s="11" t="s">
        <v>54</v>
      </c>
      <c r="R34" s="11">
        <v>936</v>
      </c>
      <c r="S34" s="11">
        <v>1030</v>
      </c>
      <c r="AG34" s="11">
        <v>936</v>
      </c>
    </row>
    <row r="35" spans="2:33" s="11" customFormat="1" x14ac:dyDescent="0.2">
      <c r="B35" s="11" t="s">
        <v>55</v>
      </c>
      <c r="R35" s="11">
        <v>257</v>
      </c>
      <c r="S35" s="11">
        <v>263</v>
      </c>
      <c r="AG35" s="11">
        <v>257</v>
      </c>
    </row>
    <row r="36" spans="2:33" s="11" customFormat="1" x14ac:dyDescent="0.2">
      <c r="B36" s="11" t="s">
        <v>56</v>
      </c>
      <c r="R36" s="11">
        <v>233</v>
      </c>
      <c r="S36" s="11">
        <v>240</v>
      </c>
      <c r="AG36" s="11">
        <v>233</v>
      </c>
    </row>
    <row r="37" spans="2:33" s="11" customFormat="1" x14ac:dyDescent="0.2">
      <c r="B37" s="11" t="s">
        <v>46</v>
      </c>
      <c r="R37" s="11">
        <v>3348</v>
      </c>
      <c r="S37" s="11">
        <v>2965</v>
      </c>
      <c r="AG37" s="11">
        <v>3348</v>
      </c>
    </row>
    <row r="38" spans="2:33" s="5" customFormat="1" x14ac:dyDescent="0.2">
      <c r="B38" s="5" t="s">
        <v>57</v>
      </c>
      <c r="R38" s="5">
        <f>+SUM(R28:R37)</f>
        <v>35509</v>
      </c>
      <c r="S38" s="5">
        <f>+SUM(S28:S37)</f>
        <v>33757</v>
      </c>
      <c r="AG38" s="5">
        <f>+SUM(AG28:AG37)</f>
        <v>35509</v>
      </c>
    </row>
    <row r="39" spans="2:33" s="11" customFormat="1" x14ac:dyDescent="0.2">
      <c r="B39" s="11" t="s">
        <v>37</v>
      </c>
      <c r="R39" s="11">
        <f>750+12846</f>
        <v>13596</v>
      </c>
      <c r="S39" s="11">
        <v>12848</v>
      </c>
      <c r="AG39" s="11">
        <f>750+12846</f>
        <v>13596</v>
      </c>
    </row>
    <row r="40" spans="2:33" s="11" customFormat="1" x14ac:dyDescent="0.2">
      <c r="B40" s="11" t="s">
        <v>58</v>
      </c>
      <c r="R40" s="11">
        <v>820</v>
      </c>
      <c r="S40" s="11">
        <v>866</v>
      </c>
      <c r="AG40" s="11">
        <v>820</v>
      </c>
    </row>
    <row r="41" spans="2:33" s="11" customFormat="1" x14ac:dyDescent="0.2">
      <c r="B41" s="11" t="s">
        <v>59</v>
      </c>
      <c r="R41" s="11">
        <v>839</v>
      </c>
      <c r="S41" s="11">
        <v>418</v>
      </c>
      <c r="AG41" s="11">
        <v>839</v>
      </c>
    </row>
    <row r="42" spans="2:33" s="11" customFormat="1" x14ac:dyDescent="0.2">
      <c r="B42" s="11" t="s">
        <v>9</v>
      </c>
      <c r="R42" s="11">
        <v>159</v>
      </c>
      <c r="S42" s="11">
        <v>284</v>
      </c>
      <c r="AG42" s="11">
        <v>159</v>
      </c>
    </row>
    <row r="43" spans="2:33" s="11" customFormat="1" x14ac:dyDescent="0.2">
      <c r="B43" s="11" t="s">
        <v>60</v>
      </c>
      <c r="R43" s="11">
        <v>1075</v>
      </c>
      <c r="S43" s="11">
        <v>921</v>
      </c>
      <c r="AG43" s="11">
        <v>1075</v>
      </c>
    </row>
    <row r="44" spans="2:33" s="11" customFormat="1" x14ac:dyDescent="0.2">
      <c r="B44" s="11" t="s">
        <v>56</v>
      </c>
      <c r="R44" s="11">
        <v>110</v>
      </c>
      <c r="S44" s="11">
        <v>115</v>
      </c>
      <c r="AG44" s="11">
        <v>110</v>
      </c>
    </row>
    <row r="45" spans="2:33" s="11" customFormat="1" x14ac:dyDescent="0.2">
      <c r="B45" s="11" t="s">
        <v>54</v>
      </c>
      <c r="R45" s="11">
        <v>53</v>
      </c>
      <c r="S45" s="11">
        <v>56</v>
      </c>
      <c r="AG45" s="11">
        <v>53</v>
      </c>
    </row>
    <row r="46" spans="2:33" s="11" customFormat="1" x14ac:dyDescent="0.2">
      <c r="B46" s="11" t="s">
        <v>46</v>
      </c>
      <c r="R46" s="11">
        <v>1954</v>
      </c>
      <c r="S46" s="11">
        <v>1843</v>
      </c>
      <c r="AG46" s="11">
        <v>1954</v>
      </c>
    </row>
    <row r="47" spans="2:33" s="5" customFormat="1" x14ac:dyDescent="0.2">
      <c r="B47" s="5" t="s">
        <v>61</v>
      </c>
      <c r="R47" s="5">
        <f>+SUM(R39:R46)</f>
        <v>18606</v>
      </c>
      <c r="S47" s="5">
        <f>+SUM(S39:S46)</f>
        <v>17351</v>
      </c>
      <c r="AG47" s="5">
        <f>+SUM(AG39:AG46)</f>
        <v>18606</v>
      </c>
    </row>
    <row r="48" spans="2:33" s="11" customFormat="1" x14ac:dyDescent="0.2">
      <c r="B48" s="11" t="s">
        <v>62</v>
      </c>
      <c r="R48" s="11">
        <v>16406</v>
      </c>
      <c r="S48" s="11">
        <v>16406</v>
      </c>
      <c r="AG48" s="11">
        <v>16406</v>
      </c>
    </row>
    <row r="49" spans="2:33" s="11" customFormat="1" x14ac:dyDescent="0.2">
      <c r="B49" s="11" t="s">
        <v>63</v>
      </c>
      <c r="R49" s="11">
        <f>+R47+R48</f>
        <v>35012</v>
      </c>
      <c r="S49" s="11">
        <f>+S47+S48</f>
        <v>33757</v>
      </c>
      <c r="AG49" s="11">
        <f>+AG47+AG48</f>
        <v>35012</v>
      </c>
    </row>
    <row r="50" spans="2:33" s="11" customFormat="1" x14ac:dyDescent="0.2"/>
    <row r="51" spans="2:33" s="11" customFormat="1" x14ac:dyDescent="0.2">
      <c r="B51" s="11" t="s">
        <v>64</v>
      </c>
      <c r="R51" s="11">
        <f>+SUM(O16:R16)</f>
        <v>4201</v>
      </c>
      <c r="S51" s="11">
        <f>+SUM(P16:S16)</f>
        <v>4442</v>
      </c>
      <c r="AG51" s="11">
        <f>+AG16</f>
        <v>4179</v>
      </c>
    </row>
    <row r="52" spans="2:33" s="10" customFormat="1" x14ac:dyDescent="0.2">
      <c r="B52" s="10" t="s">
        <v>65</v>
      </c>
      <c r="R52" s="10">
        <f>+R51/(R29+R30+R31+R32+R34+R37)</f>
        <v>0.18204272652424491</v>
      </c>
      <c r="S52" s="10">
        <f>+S51/(S29+S30+S31+S32+S34+S37)</f>
        <v>0.18595888977267971</v>
      </c>
      <c r="AG52" s="10">
        <f>+AG51/(AG29+AG30+AG31+AG32+AG34+AG37)</f>
        <v>0.18108939636867877</v>
      </c>
    </row>
    <row r="53" spans="2:33" s="10" customFormat="1" x14ac:dyDescent="0.2"/>
    <row r="54" spans="2:33" s="11" customFormat="1" x14ac:dyDescent="0.2">
      <c r="B54" s="11" t="s">
        <v>66</v>
      </c>
      <c r="O54" s="11">
        <f>+O16</f>
        <v>858</v>
      </c>
      <c r="P54" s="11">
        <f>+P16</f>
        <v>997</v>
      </c>
      <c r="Q54" s="11">
        <f>+Q16</f>
        <v>1231</v>
      </c>
      <c r="R54" s="11">
        <f>+R16</f>
        <v>1115</v>
      </c>
      <c r="S54" s="11">
        <f>+S16</f>
        <v>1099</v>
      </c>
      <c r="AG54" s="11">
        <f>+AG16</f>
        <v>4179</v>
      </c>
    </row>
    <row r="55" spans="2:33" s="11" customFormat="1" x14ac:dyDescent="0.2">
      <c r="B55" s="11" t="s">
        <v>67</v>
      </c>
      <c r="O55" s="11">
        <v>1105</v>
      </c>
      <c r="P55" s="11">
        <f>2232-O55</f>
        <v>1127</v>
      </c>
      <c r="Q55" s="11">
        <f>3594-SUM(O55:P55)</f>
        <v>1362</v>
      </c>
      <c r="R55" s="11">
        <f>+AG55-SUM(O55:Q55)</f>
        <v>1205</v>
      </c>
      <c r="S55" s="11">
        <v>1179</v>
      </c>
      <c r="AG55" s="11">
        <v>4799</v>
      </c>
    </row>
    <row r="56" spans="2:33" x14ac:dyDescent="0.2">
      <c r="B56" s="1" t="s">
        <v>68</v>
      </c>
      <c r="O56" s="1">
        <f>346+16</f>
        <v>362</v>
      </c>
      <c r="P56" s="1">
        <f>709+34-O56</f>
        <v>381</v>
      </c>
      <c r="Q56" s="1">
        <f>1092+53-SUM(O56:P56)</f>
        <v>402</v>
      </c>
      <c r="R56" s="11">
        <f t="shared" ref="R56:R62" si="6">+AG56-SUM(O56:Q56)</f>
        <v>435</v>
      </c>
      <c r="S56" s="1">
        <f>424+20</f>
        <v>444</v>
      </c>
      <c r="AG56" s="1">
        <f>1508+72</f>
        <v>1580</v>
      </c>
    </row>
    <row r="57" spans="2:33" x14ac:dyDescent="0.2">
      <c r="B57" s="1" t="s">
        <v>69</v>
      </c>
      <c r="O57" s="1">
        <v>106</v>
      </c>
      <c r="P57" s="1">
        <f>222-O57</f>
        <v>116</v>
      </c>
      <c r="Q57" s="1">
        <f>309-SUM(O57:P57)</f>
        <v>87</v>
      </c>
      <c r="R57" s="11">
        <f t="shared" si="6"/>
        <v>78</v>
      </c>
      <c r="S57" s="1">
        <v>116</v>
      </c>
      <c r="AG57" s="1">
        <v>387</v>
      </c>
    </row>
    <row r="58" spans="2:33" x14ac:dyDescent="0.2">
      <c r="B58" s="1" t="s">
        <v>70</v>
      </c>
      <c r="O58" s="1">
        <v>-129</v>
      </c>
      <c r="P58" s="1">
        <f>-126-O58</f>
        <v>3</v>
      </c>
      <c r="Q58" s="1">
        <f>-126-SUM(O58:P58)</f>
        <v>0</v>
      </c>
      <c r="R58" s="11">
        <f t="shared" si="6"/>
        <v>-1</v>
      </c>
      <c r="S58" s="1">
        <v>0</v>
      </c>
      <c r="AG58" s="1">
        <v>-127</v>
      </c>
    </row>
    <row r="59" spans="2:33" x14ac:dyDescent="0.2">
      <c r="B59" s="1" t="s">
        <v>54</v>
      </c>
      <c r="O59" s="1">
        <v>-71</v>
      </c>
      <c r="P59" s="1">
        <f>-156-O59</f>
        <v>-85</v>
      </c>
      <c r="Q59" s="1">
        <f>-189-SUM(O59:P59)</f>
        <v>-33</v>
      </c>
      <c r="R59" s="11">
        <f t="shared" si="6"/>
        <v>-21</v>
      </c>
      <c r="S59" s="1">
        <v>-87</v>
      </c>
      <c r="AG59" s="1">
        <v>-210</v>
      </c>
    </row>
    <row r="60" spans="2:33" x14ac:dyDescent="0.2">
      <c r="B60" s="1" t="s">
        <v>71</v>
      </c>
      <c r="O60" s="1">
        <f>116-84-24-77-444+212</f>
        <v>-301</v>
      </c>
      <c r="P60" s="1">
        <f>76-107-46+25-276+332-O60</f>
        <v>305</v>
      </c>
      <c r="Q60" s="1">
        <f>-75-297-69+38-127+487-SUM(O60:P60)</f>
        <v>-47</v>
      </c>
      <c r="R60" s="11">
        <f t="shared" si="6"/>
        <v>300</v>
      </c>
      <c r="S60" s="1">
        <f>-141-160-7-121-427+132</f>
        <v>-724</v>
      </c>
      <c r="AG60" s="1">
        <f>68-528+7+125-12+597</f>
        <v>257</v>
      </c>
    </row>
    <row r="61" spans="2:33" x14ac:dyDescent="0.2">
      <c r="B61" s="1" t="s">
        <v>72</v>
      </c>
      <c r="O61" s="1">
        <v>17</v>
      </c>
      <c r="P61" s="1">
        <f>26-O61</f>
        <v>9</v>
      </c>
      <c r="Q61" s="1">
        <f>2-SUM(O61:P61)</f>
        <v>-24</v>
      </c>
      <c r="R61" s="11">
        <f t="shared" si="6"/>
        <v>31</v>
      </c>
      <c r="S61" s="1">
        <v>-9</v>
      </c>
      <c r="AG61" s="1">
        <v>33</v>
      </c>
    </row>
    <row r="62" spans="2:33" x14ac:dyDescent="0.2">
      <c r="B62" s="1" t="s">
        <v>46</v>
      </c>
      <c r="O62" s="1">
        <v>-72</v>
      </c>
      <c r="P62" s="1">
        <f>-357-O62</f>
        <v>-285</v>
      </c>
      <c r="Q62" s="1">
        <f>-372-SUM(O62:P62)</f>
        <v>-15</v>
      </c>
      <c r="R62" s="11">
        <f t="shared" si="6"/>
        <v>-29</v>
      </c>
      <c r="S62" s="1">
        <v>-70</v>
      </c>
      <c r="AG62" s="1">
        <v>-401</v>
      </c>
    </row>
    <row r="63" spans="2:33" s="5" customFormat="1" x14ac:dyDescent="0.2">
      <c r="B63" s="5" t="s">
        <v>39</v>
      </c>
      <c r="O63" s="5">
        <f>+SUM(O55:O62)</f>
        <v>1017</v>
      </c>
      <c r="P63" s="5">
        <f>+SUM(P55:P62)</f>
        <v>1571</v>
      </c>
      <c r="Q63" s="5">
        <f>+SUM(Q55:Q62)</f>
        <v>1732</v>
      </c>
      <c r="R63" s="5">
        <f>+SUM(R55:R62)</f>
        <v>1998</v>
      </c>
      <c r="S63" s="5">
        <f>+SUM(S55:S62)</f>
        <v>849</v>
      </c>
      <c r="AG63" s="5">
        <f>+SUM(AG55:AG62)</f>
        <v>6318</v>
      </c>
    </row>
    <row r="65" spans="2:33" x14ac:dyDescent="0.2">
      <c r="B65" s="1" t="s">
        <v>40</v>
      </c>
      <c r="O65" s="1">
        <v>-1248</v>
      </c>
      <c r="P65" s="1">
        <f>-2312-O65</f>
        <v>-1064</v>
      </c>
      <c r="Q65" s="1">
        <f>-3628-SUM(O65:P65)</f>
        <v>-1316</v>
      </c>
      <c r="R65" s="11">
        <f t="shared" ref="R65:R69" si="7">+AG65-SUM(O65:Q65)</f>
        <v>-1192</v>
      </c>
      <c r="S65" s="1">
        <v>-1123</v>
      </c>
      <c r="AG65" s="1">
        <v>-4820</v>
      </c>
    </row>
    <row r="66" spans="2:33" x14ac:dyDescent="0.2">
      <c r="B66" s="1" t="s">
        <v>73</v>
      </c>
      <c r="O66" s="1">
        <v>0</v>
      </c>
      <c r="P66" s="1">
        <v>0</v>
      </c>
      <c r="Q66" s="1">
        <v>0</v>
      </c>
      <c r="R66" s="11">
        <f t="shared" si="7"/>
        <v>0</v>
      </c>
      <c r="S66" s="1">
        <v>260</v>
      </c>
      <c r="AG66" s="1">
        <v>0</v>
      </c>
    </row>
    <row r="67" spans="2:33" x14ac:dyDescent="0.2">
      <c r="B67" s="1" t="s">
        <v>74</v>
      </c>
      <c r="O67" s="1">
        <v>192</v>
      </c>
      <c r="P67" s="1">
        <f>194-O67</f>
        <v>2</v>
      </c>
      <c r="Q67" s="1">
        <f>194-SUM(O67:P67)</f>
        <v>0</v>
      </c>
      <c r="R67" s="11">
        <f t="shared" si="7"/>
        <v>1</v>
      </c>
      <c r="S67" s="1">
        <v>0</v>
      </c>
      <c r="AG67" s="1">
        <v>195</v>
      </c>
    </row>
    <row r="68" spans="2:33" x14ac:dyDescent="0.2">
      <c r="B68" s="1" t="s">
        <v>75</v>
      </c>
      <c r="O68" s="1">
        <f>-4864+2631</f>
        <v>-2233</v>
      </c>
      <c r="P68" s="1">
        <f>-6962+5761-O68</f>
        <v>1032</v>
      </c>
      <c r="Q68" s="1">
        <f>-8807+8461-SUM(O68:P68)</f>
        <v>855</v>
      </c>
      <c r="R68" s="11">
        <f t="shared" si="7"/>
        <v>1817</v>
      </c>
      <c r="S68" s="1">
        <f>-647+2807</f>
        <v>2160</v>
      </c>
      <c r="AG68" s="1">
        <f>-9716+11187</f>
        <v>1471</v>
      </c>
    </row>
    <row r="69" spans="2:33" x14ac:dyDescent="0.2">
      <c r="B69" s="1" t="s">
        <v>46</v>
      </c>
      <c r="O69" s="1">
        <v>-40</v>
      </c>
      <c r="P69" s="1">
        <f>-10-O69</f>
        <v>30</v>
      </c>
      <c r="Q69" s="1">
        <f>-36-SUM(O69:P69)</f>
        <v>-26</v>
      </c>
      <c r="R69" s="11">
        <f t="shared" si="7"/>
        <v>-12</v>
      </c>
      <c r="S69" s="1">
        <v>-44</v>
      </c>
      <c r="AG69" s="1">
        <v>-48</v>
      </c>
    </row>
    <row r="70" spans="2:33" x14ac:dyDescent="0.2">
      <c r="B70" s="1" t="s">
        <v>76</v>
      </c>
      <c r="O70" s="1">
        <f>+SUM(O65:O69)</f>
        <v>-3329</v>
      </c>
      <c r="P70" s="1">
        <f>+SUM(P65:P69)</f>
        <v>0</v>
      </c>
      <c r="Q70" s="1">
        <f>+SUM(Q65:Q69)</f>
        <v>-487</v>
      </c>
      <c r="R70" s="1">
        <f>+SUM(R65:R69)</f>
        <v>614</v>
      </c>
      <c r="S70" s="1">
        <f>+SUM(S65:S69)</f>
        <v>1253</v>
      </c>
      <c r="AG70" s="1">
        <f>+SUM(AG65:AG69)</f>
        <v>-3202</v>
      </c>
    </row>
    <row r="72" spans="2:33" x14ac:dyDescent="0.2">
      <c r="B72" s="1" t="s">
        <v>37</v>
      </c>
      <c r="O72" s="1">
        <v>2980</v>
      </c>
      <c r="P72" s="1">
        <f>2980-300-O72</f>
        <v>-300</v>
      </c>
      <c r="Q72" s="1">
        <f>2980-300-SUM(O72:P72)</f>
        <v>0</v>
      </c>
      <c r="R72" s="11">
        <f t="shared" ref="R72:R76" si="8">+AG72-SUM(O72:Q72)</f>
        <v>-300</v>
      </c>
      <c r="S72" s="1">
        <v>-750</v>
      </c>
      <c r="AG72" s="1">
        <f>2980-600</f>
        <v>2380</v>
      </c>
    </row>
    <row r="73" spans="2:33" x14ac:dyDescent="0.2">
      <c r="B73" s="1" t="s">
        <v>77</v>
      </c>
      <c r="O73" s="1">
        <v>-1183</v>
      </c>
      <c r="P73" s="1">
        <f>-2368-O73</f>
        <v>-1185</v>
      </c>
      <c r="Q73" s="1">
        <f>-3555-SUM(O73:P73)</f>
        <v>-1187</v>
      </c>
      <c r="R73" s="11">
        <f t="shared" si="8"/>
        <v>-1240</v>
      </c>
      <c r="S73" s="1">
        <v>-1238</v>
      </c>
      <c r="AG73" s="1">
        <v>-4795</v>
      </c>
    </row>
    <row r="74" spans="2:33" x14ac:dyDescent="0.2">
      <c r="B74" s="1" t="s">
        <v>78</v>
      </c>
      <c r="O74" s="1">
        <v>-3</v>
      </c>
      <c r="P74" s="1">
        <f>-74-O74</f>
        <v>-71</v>
      </c>
      <c r="Q74" s="1">
        <f>-392-SUM(O74:P74)</f>
        <v>-318</v>
      </c>
      <c r="R74" s="11">
        <f t="shared" si="8"/>
        <v>-537</v>
      </c>
      <c r="S74" s="1">
        <v>-653</v>
      </c>
      <c r="AG74" s="1">
        <v>-929</v>
      </c>
    </row>
    <row r="75" spans="2:33" x14ac:dyDescent="0.2">
      <c r="B75" s="1" t="s">
        <v>79</v>
      </c>
      <c r="O75" s="1">
        <v>65</v>
      </c>
      <c r="P75" s="1">
        <f>313-O75</f>
        <v>248</v>
      </c>
      <c r="Q75" s="1">
        <f>430-SUM(O75:P75)</f>
        <v>117</v>
      </c>
      <c r="R75" s="11">
        <f t="shared" si="8"/>
        <v>87</v>
      </c>
      <c r="S75" s="1">
        <v>118</v>
      </c>
      <c r="AG75" s="1">
        <v>517</v>
      </c>
    </row>
    <row r="76" spans="2:33" x14ac:dyDescent="0.2">
      <c r="B76" s="1" t="s">
        <v>46</v>
      </c>
      <c r="O76" s="1">
        <v>-28</v>
      </c>
      <c r="P76" s="1">
        <f>-34-O76</f>
        <v>-6</v>
      </c>
      <c r="Q76" s="1">
        <f>-42-SUM(O76:P76)</f>
        <v>-8</v>
      </c>
      <c r="R76" s="11">
        <f t="shared" si="8"/>
        <v>-11</v>
      </c>
      <c r="S76" s="1">
        <v>-16</v>
      </c>
      <c r="AG76" s="1">
        <v>-53</v>
      </c>
    </row>
    <row r="77" spans="2:33" x14ac:dyDescent="0.2">
      <c r="B77" s="1" t="s">
        <v>80</v>
      </c>
      <c r="O77" s="1">
        <f>+SUM(O72:O76)</f>
        <v>1831</v>
      </c>
      <c r="P77" s="1">
        <f>+SUM(P72:P76)</f>
        <v>-1314</v>
      </c>
      <c r="Q77" s="1">
        <f>+SUM(Q72:Q76)</f>
        <v>-1396</v>
      </c>
      <c r="R77" s="1">
        <f>+SUM(R72:R76)</f>
        <v>-2001</v>
      </c>
      <c r="S77" s="1">
        <f>+SUM(S72:S76)</f>
        <v>-2539</v>
      </c>
      <c r="AG77" s="1">
        <f>+SUM(AG72:AG76)</f>
        <v>-2880</v>
      </c>
    </row>
    <row r="78" spans="2:33" x14ac:dyDescent="0.2">
      <c r="B78" s="1" t="s">
        <v>81</v>
      </c>
      <c r="O78" s="1">
        <f>+O63+O70+O77</f>
        <v>-481</v>
      </c>
      <c r="P78" s="1">
        <f>+P63+P70+P77</f>
        <v>257</v>
      </c>
      <c r="Q78" s="1">
        <f>+Q63+Q70+Q77</f>
        <v>-151</v>
      </c>
      <c r="R78" s="1">
        <f>+R63+R70+R77</f>
        <v>611</v>
      </c>
      <c r="S78" s="1">
        <f>+S63+S70+S77</f>
        <v>-437</v>
      </c>
      <c r="AG78" s="1">
        <f>+AG63+AG70+AG77</f>
        <v>236</v>
      </c>
    </row>
    <row r="80" spans="2:33" s="5" customFormat="1" x14ac:dyDescent="0.2">
      <c r="B80" s="5" t="s">
        <v>41</v>
      </c>
      <c r="O80" s="5">
        <f>+O63+O65</f>
        <v>-231</v>
      </c>
      <c r="P80" s="5">
        <f>+P63+P65</f>
        <v>507</v>
      </c>
      <c r="Q80" s="5">
        <f>+Q63+Q65</f>
        <v>416</v>
      </c>
      <c r="R80" s="5">
        <f>+R63+R65</f>
        <v>806</v>
      </c>
      <c r="S80" s="5">
        <f>+S63+S65</f>
        <v>-274</v>
      </c>
      <c r="AG80" s="5">
        <f>+AG63+AG65</f>
        <v>1498</v>
      </c>
    </row>
  </sheetData>
  <hyperlinks>
    <hyperlink ref="A1" location="Main!A1" display="Main" xr:uid="{77EF1BF5-8992-4617-A89F-385191F1FD5F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B3CC-2482-4E43-B73F-3337044BA1B7}">
  <dimension ref="A1:AQ35"/>
  <sheetViews>
    <sheetView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J22" sqref="AJ22"/>
    </sheetView>
  </sheetViews>
  <sheetFormatPr defaultRowHeight="12.75" x14ac:dyDescent="0.2"/>
  <cols>
    <col min="1" max="1" width="5" bestFit="1" customWidth="1"/>
    <col min="2" max="2" width="11.7109375" bestFit="1" customWidth="1"/>
  </cols>
  <sheetData>
    <row r="1" spans="1:43" x14ac:dyDescent="0.2">
      <c r="A1" s="17" t="s">
        <v>82</v>
      </c>
    </row>
    <row r="2" spans="1:43" s="1" customFormat="1" x14ac:dyDescent="0.2">
      <c r="B2" s="2"/>
      <c r="C2" s="2" t="s">
        <v>18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19</v>
      </c>
      <c r="I2" s="2" t="s">
        <v>20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42</v>
      </c>
      <c r="T2" s="2" t="s">
        <v>43</v>
      </c>
      <c r="U2" s="2" t="s">
        <v>44</v>
      </c>
      <c r="W2">
        <v>2014</v>
      </c>
      <c r="X2">
        <f>+W2+1</f>
        <v>2015</v>
      </c>
      <c r="Y2">
        <f t="shared" ref="Y2:AQ2" si="0">+X2+1</f>
        <v>2016</v>
      </c>
      <c r="Z2">
        <f t="shared" si="0"/>
        <v>2017</v>
      </c>
      <c r="AA2">
        <f t="shared" si="0"/>
        <v>2018</v>
      </c>
      <c r="AB2">
        <f t="shared" si="0"/>
        <v>2019</v>
      </c>
      <c r="AC2">
        <f t="shared" si="0"/>
        <v>2020</v>
      </c>
      <c r="AD2">
        <f t="shared" si="0"/>
        <v>2021</v>
      </c>
      <c r="AE2">
        <f t="shared" si="0"/>
        <v>2022</v>
      </c>
      <c r="AF2">
        <f t="shared" si="0"/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 t="shared" si="0"/>
        <v>2027</v>
      </c>
      <c r="AK2">
        <f t="shared" si="0"/>
        <v>2028</v>
      </c>
      <c r="AL2">
        <f t="shared" si="0"/>
        <v>2029</v>
      </c>
      <c r="AM2">
        <f t="shared" si="0"/>
        <v>2030</v>
      </c>
      <c r="AN2">
        <f t="shared" si="0"/>
        <v>2031</v>
      </c>
      <c r="AO2">
        <f t="shared" si="0"/>
        <v>2032</v>
      </c>
      <c r="AP2">
        <f t="shared" si="0"/>
        <v>2033</v>
      </c>
      <c r="AQ2">
        <f t="shared" si="0"/>
        <v>2034</v>
      </c>
    </row>
    <row r="3" spans="1:43" s="1" customFormat="1" x14ac:dyDescent="0.2">
      <c r="B3" s="19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s="1" customFormat="1" x14ac:dyDescent="0.2">
      <c r="B4" s="9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AE4" s="1">
        <v>6609</v>
      </c>
      <c r="AF4" s="1">
        <v>5814</v>
      </c>
      <c r="AG4" s="1">
        <v>5957</v>
      </c>
    </row>
    <row r="5" spans="1:43" s="1" customFormat="1" x14ac:dyDescent="0.2">
      <c r="B5" s="9" t="s">
        <v>128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AE5" s="1">
        <v>4807</v>
      </c>
      <c r="AF5" s="1">
        <v>3293</v>
      </c>
      <c r="AG5" s="1">
        <v>3012</v>
      </c>
    </row>
    <row r="6" spans="1:43" s="1" customFormat="1" x14ac:dyDescent="0.2">
      <c r="B6" s="9" t="s">
        <v>129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AE6" s="1">
        <v>2003</v>
      </c>
      <c r="AF6" s="1">
        <v>1721</v>
      </c>
      <c r="AG6" s="1">
        <v>1681</v>
      </c>
    </row>
    <row r="7" spans="1:43" s="1" customFormat="1" x14ac:dyDescent="0.2">
      <c r="B7" s="9" t="s">
        <v>130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AE7" s="1">
        <v>4807</v>
      </c>
      <c r="AF7" s="1">
        <v>4642</v>
      </c>
      <c r="AG7" s="1">
        <v>3519</v>
      </c>
    </row>
    <row r="8" spans="1:43" s="1" customFormat="1" x14ac:dyDescent="0.2">
      <c r="B8" s="9" t="s">
        <v>131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AE8" s="1">
        <v>1602</v>
      </c>
      <c r="AF8" s="1">
        <v>1782</v>
      </c>
      <c r="AG8" s="1">
        <v>1212</v>
      </c>
    </row>
    <row r="9" spans="1:43" s="1" customFormat="1" x14ac:dyDescent="0.2">
      <c r="B9" s="9" t="s">
        <v>132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AE9" s="1">
        <v>200</v>
      </c>
      <c r="AF9" s="1">
        <v>267</v>
      </c>
      <c r="AG9" s="1">
        <v>260</v>
      </c>
    </row>
    <row r="10" spans="1:43" x14ac:dyDescent="0.2">
      <c r="B10" s="18" t="s">
        <v>134</v>
      </c>
      <c r="C10" s="1">
        <f t="shared" ref="C10:AF10" si="1">+SUM(C4:C9)</f>
        <v>0</v>
      </c>
      <c r="D10" s="1">
        <f t="shared" si="1"/>
        <v>0</v>
      </c>
      <c r="E10" s="1">
        <f t="shared" si="1"/>
        <v>0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">
        <f t="shared" si="1"/>
        <v>0</v>
      </c>
      <c r="Q10" s="1">
        <f t="shared" si="1"/>
        <v>0</v>
      </c>
      <c r="R10" s="1">
        <f t="shared" si="1"/>
        <v>0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1">
        <f t="shared" si="1"/>
        <v>0</v>
      </c>
      <c r="W10" s="1">
        <f t="shared" si="1"/>
        <v>0</v>
      </c>
      <c r="X10" s="1">
        <f t="shared" si="1"/>
        <v>0</v>
      </c>
      <c r="Y10" s="1">
        <f t="shared" si="1"/>
        <v>0</v>
      </c>
      <c r="Z10" s="1">
        <f t="shared" si="1"/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  <c r="AE10" s="1">
        <f t="shared" si="1"/>
        <v>20028</v>
      </c>
      <c r="AF10" s="1">
        <f t="shared" si="1"/>
        <v>17519</v>
      </c>
      <c r="AG10" s="1">
        <f>+SUM(AG4:AG9)</f>
        <v>15641</v>
      </c>
    </row>
    <row r="12" spans="1:43" x14ac:dyDescent="0.2">
      <c r="B12" s="19" t="s">
        <v>135</v>
      </c>
    </row>
    <row r="13" spans="1:43" s="3" customFormat="1" x14ac:dyDescent="0.2">
      <c r="B13" s="20" t="s">
        <v>133</v>
      </c>
      <c r="AE13" s="3">
        <f>+AE4/$AE$10</f>
        <v>0.3299880167765129</v>
      </c>
      <c r="AF13" s="3">
        <f>+AF4/$AF$10</f>
        <v>0.33186825732062331</v>
      </c>
      <c r="AG13" s="3">
        <f>+AG4/$AG$10</f>
        <v>0.38085800140655968</v>
      </c>
    </row>
    <row r="14" spans="1:43" s="3" customFormat="1" x14ac:dyDescent="0.2">
      <c r="B14" s="20" t="s">
        <v>128</v>
      </c>
      <c r="AE14" s="3">
        <f t="shared" ref="AE14:AE18" si="2">+AE5/$AE$10</f>
        <v>0.24001398042740163</v>
      </c>
      <c r="AF14" s="3">
        <f t="shared" ref="AF14:AF18" si="3">+AF5/$AF$10</f>
        <v>0.18796734973457388</v>
      </c>
      <c r="AG14" s="3">
        <f t="shared" ref="AG14:AG18" si="4">+AG5/$AG$10</f>
        <v>0.19257080749312705</v>
      </c>
    </row>
    <row r="15" spans="1:43" s="3" customFormat="1" x14ac:dyDescent="0.2">
      <c r="B15" s="20" t="s">
        <v>129</v>
      </c>
      <c r="AE15" s="3">
        <f t="shared" si="2"/>
        <v>0.1000099860195726</v>
      </c>
      <c r="AF15" s="3">
        <f t="shared" si="3"/>
        <v>9.8236200696386777E-2</v>
      </c>
      <c r="AG15" s="3">
        <f t="shared" si="4"/>
        <v>0.10747394667860111</v>
      </c>
    </row>
    <row r="16" spans="1:43" s="3" customFormat="1" x14ac:dyDescent="0.2">
      <c r="B16" s="20" t="s">
        <v>130</v>
      </c>
      <c r="AE16" s="3">
        <f t="shared" si="2"/>
        <v>0.24001398042740163</v>
      </c>
      <c r="AF16" s="3">
        <f t="shared" si="3"/>
        <v>0.26496946172726754</v>
      </c>
      <c r="AG16" s="3">
        <f t="shared" si="4"/>
        <v>0.22498561473051595</v>
      </c>
    </row>
    <row r="17" spans="2:33" s="3" customFormat="1" x14ac:dyDescent="0.2">
      <c r="B17" s="20" t="s">
        <v>131</v>
      </c>
      <c r="AE17" s="3">
        <f t="shared" si="2"/>
        <v>7.9988016776512877E-2</v>
      </c>
      <c r="AF17" s="3">
        <f t="shared" si="3"/>
        <v>0.10171813459672356</v>
      </c>
      <c r="AG17" s="3">
        <f t="shared" si="4"/>
        <v>7.7488651620740367E-2</v>
      </c>
    </row>
    <row r="18" spans="2:33" s="3" customFormat="1" x14ac:dyDescent="0.2">
      <c r="B18" s="20" t="s">
        <v>132</v>
      </c>
      <c r="AE18" s="3">
        <f t="shared" si="2"/>
        <v>9.9860195725983616E-3</v>
      </c>
      <c r="AF18" s="3">
        <f t="shared" si="3"/>
        <v>1.5240595924424911E-2</v>
      </c>
      <c r="AG18" s="3">
        <f t="shared" si="4"/>
        <v>1.6622978070455853E-2</v>
      </c>
    </row>
    <row r="20" spans="2:33" x14ac:dyDescent="0.2">
      <c r="B20" s="21" t="s">
        <v>136</v>
      </c>
    </row>
    <row r="21" spans="2:33" s="3" customFormat="1" x14ac:dyDescent="0.2">
      <c r="B21" s="20" t="s">
        <v>133</v>
      </c>
      <c r="AF21" s="3">
        <f t="shared" ref="AE21:AF21" si="5">+AF4/AE4-1</f>
        <v>-0.12029051293690418</v>
      </c>
      <c r="AG21" s="3">
        <f>+AG4/AF4-1</f>
        <v>2.4595803233574021E-2</v>
      </c>
    </row>
    <row r="22" spans="2:33" s="3" customFormat="1" x14ac:dyDescent="0.2">
      <c r="B22" s="20" t="s">
        <v>128</v>
      </c>
      <c r="AF22" s="3">
        <f t="shared" ref="AE22:AG26" si="6">+AF5/AE5-1</f>
        <v>-0.31495735385895574</v>
      </c>
      <c r="AG22" s="3">
        <f t="shared" si="6"/>
        <v>-8.5332523534770721E-2</v>
      </c>
    </row>
    <row r="23" spans="2:33" s="3" customFormat="1" x14ac:dyDescent="0.2">
      <c r="B23" s="20" t="s">
        <v>129</v>
      </c>
      <c r="AF23" s="3">
        <f t="shared" si="6"/>
        <v>-0.14078881677483779</v>
      </c>
      <c r="AG23" s="3">
        <f t="shared" si="6"/>
        <v>-2.3242300987797782E-2</v>
      </c>
    </row>
    <row r="24" spans="2:33" s="3" customFormat="1" x14ac:dyDescent="0.2">
      <c r="B24" s="20" t="s">
        <v>130</v>
      </c>
      <c r="AF24" s="3">
        <f t="shared" si="6"/>
        <v>-3.4324942791762014E-2</v>
      </c>
      <c r="AG24" s="3">
        <f t="shared" si="6"/>
        <v>-0.24192158552348131</v>
      </c>
    </row>
    <row r="25" spans="2:33" s="3" customFormat="1" x14ac:dyDescent="0.2">
      <c r="B25" s="20" t="s">
        <v>131</v>
      </c>
      <c r="AF25" s="3">
        <f t="shared" si="6"/>
        <v>0.11235955056179781</v>
      </c>
      <c r="AG25" s="3">
        <f t="shared" si="6"/>
        <v>-0.31986531986531985</v>
      </c>
    </row>
    <row r="26" spans="2:33" s="3" customFormat="1" x14ac:dyDescent="0.2">
      <c r="B26" s="20" t="s">
        <v>132</v>
      </c>
      <c r="AF26" s="3">
        <f t="shared" si="6"/>
        <v>0.33499999999999996</v>
      </c>
      <c r="AG26" s="3">
        <f t="shared" si="6"/>
        <v>-2.6217228464419429E-2</v>
      </c>
    </row>
    <row r="27" spans="2:33" x14ac:dyDescent="0.2">
      <c r="B27" s="20"/>
    </row>
    <row r="28" spans="2:33" x14ac:dyDescent="0.2">
      <c r="B28" s="14" t="s">
        <v>52</v>
      </c>
    </row>
    <row r="29" spans="2:33" s="1" customFormat="1" x14ac:dyDescent="0.2">
      <c r="B29" s="9" t="s">
        <v>133</v>
      </c>
      <c r="AF29" s="1">
        <v>7548</v>
      </c>
      <c r="AG29" s="1">
        <v>8342</v>
      </c>
    </row>
    <row r="30" spans="2:33" s="1" customFormat="1" x14ac:dyDescent="0.2">
      <c r="B30" s="9" t="s">
        <v>128</v>
      </c>
      <c r="AF30" s="1">
        <v>731</v>
      </c>
      <c r="AG30" s="1">
        <v>737</v>
      </c>
    </row>
    <row r="31" spans="2:33" s="1" customFormat="1" x14ac:dyDescent="0.2">
      <c r="B31" s="9" t="s">
        <v>129</v>
      </c>
      <c r="AF31" s="1">
        <v>1433</v>
      </c>
      <c r="AG31" s="1">
        <v>1877</v>
      </c>
    </row>
    <row r="32" spans="2:33" s="1" customFormat="1" x14ac:dyDescent="0.2">
      <c r="B32" s="9" t="s">
        <v>130</v>
      </c>
      <c r="AF32" s="1">
        <v>68</v>
      </c>
      <c r="AG32" s="1">
        <v>74</v>
      </c>
    </row>
    <row r="33" spans="2:33" s="1" customFormat="1" x14ac:dyDescent="0.2">
      <c r="B33" s="9" t="s">
        <v>131</v>
      </c>
      <c r="AF33" s="1">
        <v>169</v>
      </c>
      <c r="AG33" s="1">
        <v>274</v>
      </c>
    </row>
    <row r="34" spans="2:33" s="1" customFormat="1" x14ac:dyDescent="0.2">
      <c r="B34" s="9" t="s">
        <v>132</v>
      </c>
      <c r="AF34" s="1">
        <v>50</v>
      </c>
      <c r="AG34" s="1">
        <v>43</v>
      </c>
    </row>
    <row r="35" spans="2:33" x14ac:dyDescent="0.2">
      <c r="B35" s="18" t="s">
        <v>134</v>
      </c>
      <c r="C35" s="1">
        <f t="shared" ref="C35:AF35" si="7">+SUM(C29:C34)</f>
        <v>0</v>
      </c>
      <c r="D35" s="1">
        <f t="shared" si="7"/>
        <v>0</v>
      </c>
      <c r="E35" s="1">
        <f t="shared" si="7"/>
        <v>0</v>
      </c>
      <c r="F35" s="1">
        <f t="shared" si="7"/>
        <v>0</v>
      </c>
      <c r="G35" s="1">
        <f t="shared" si="7"/>
        <v>0</v>
      </c>
      <c r="H35" s="1">
        <f t="shared" si="7"/>
        <v>0</v>
      </c>
      <c r="I35" s="1">
        <f t="shared" si="7"/>
        <v>0</v>
      </c>
      <c r="J35" s="1">
        <f t="shared" si="7"/>
        <v>0</v>
      </c>
      <c r="K35" s="1">
        <f t="shared" si="7"/>
        <v>0</v>
      </c>
      <c r="L35" s="1">
        <f t="shared" si="7"/>
        <v>0</v>
      </c>
      <c r="M35" s="1">
        <f t="shared" si="7"/>
        <v>0</v>
      </c>
      <c r="N35" s="1">
        <f t="shared" si="7"/>
        <v>0</v>
      </c>
      <c r="O35" s="1">
        <f t="shared" si="7"/>
        <v>0</v>
      </c>
      <c r="P35" s="1">
        <f t="shared" si="7"/>
        <v>0</v>
      </c>
      <c r="Q35" s="1">
        <f t="shared" si="7"/>
        <v>0</v>
      </c>
      <c r="R35" s="1">
        <f t="shared" si="7"/>
        <v>0</v>
      </c>
      <c r="S35" s="1">
        <f t="shared" si="7"/>
        <v>0</v>
      </c>
      <c r="T35" s="1">
        <f t="shared" si="7"/>
        <v>0</v>
      </c>
      <c r="U35" s="1">
        <f t="shared" si="7"/>
        <v>0</v>
      </c>
      <c r="V35" s="1">
        <f t="shared" si="7"/>
        <v>0</v>
      </c>
      <c r="W35" s="1">
        <f t="shared" si="7"/>
        <v>0</v>
      </c>
      <c r="X35" s="1">
        <f t="shared" si="7"/>
        <v>0</v>
      </c>
      <c r="Y35" s="1">
        <f t="shared" si="7"/>
        <v>0</v>
      </c>
      <c r="Z35" s="1">
        <f t="shared" si="7"/>
        <v>0</v>
      </c>
      <c r="AA35" s="1">
        <f t="shared" si="7"/>
        <v>0</v>
      </c>
      <c r="AB35" s="1">
        <f t="shared" si="7"/>
        <v>0</v>
      </c>
      <c r="AC35" s="1">
        <f t="shared" si="7"/>
        <v>0</v>
      </c>
      <c r="AD35" s="1">
        <f t="shared" si="7"/>
        <v>0</v>
      </c>
      <c r="AE35" s="1">
        <f t="shared" si="7"/>
        <v>0</v>
      </c>
      <c r="AF35" s="1">
        <f t="shared" si="7"/>
        <v>9999</v>
      </c>
      <c r="AG35" s="1">
        <f>+SUM(AG29:AG34)</f>
        <v>11347</v>
      </c>
    </row>
  </sheetData>
  <hyperlinks>
    <hyperlink ref="A1" location="Main!A1" display="Main" xr:uid="{4D99D5B7-85CD-40B3-B45E-795CC4CF8CE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Geographic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2025-01-02T19:09:21Z</dcterms:created>
  <dcterms:modified xsi:type="dcterms:W3CDTF">2025-04-24T10:24:03Z</dcterms:modified>
</cp:coreProperties>
</file>