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13_ncr:1_{027F746C-30C3-4F5B-911C-C729E4AA40B1}" xr6:coauthVersionLast="47" xr6:coauthVersionMax="47" xr10:uidLastSave="{00000000-0000-0000-0000-000000000000}"/>
  <bookViews>
    <workbookView xWindow="14460" yWindow="90" windowWidth="14235" windowHeight="15495" xr2:uid="{EC83FB7E-1810-4B23-9A73-94DC5D87DF9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Q55" i="2"/>
  <c r="P55" i="2"/>
  <c r="O55" i="2"/>
  <c r="N55" i="2"/>
  <c r="M55" i="2"/>
  <c r="R55" i="2"/>
  <c r="Q52" i="2"/>
  <c r="M52" i="2"/>
  <c r="M53" i="2"/>
  <c r="Q53" i="2"/>
  <c r="AG54" i="2"/>
  <c r="AF54" i="2"/>
  <c r="AH54" i="2"/>
  <c r="P54" i="2"/>
  <c r="O54" i="2"/>
  <c r="N54" i="2"/>
  <c r="L54" i="2"/>
  <c r="K54" i="2"/>
  <c r="J54" i="2"/>
  <c r="R54" i="2"/>
  <c r="Q50" i="2"/>
  <c r="R50" i="2"/>
  <c r="Q49" i="2"/>
  <c r="R49" i="2"/>
  <c r="Q47" i="2"/>
  <c r="Q44" i="2"/>
  <c r="Q36" i="2"/>
  <c r="Q31" i="2"/>
  <c r="Q35" i="2"/>
  <c r="R25" i="2"/>
  <c r="R47" i="2"/>
  <c r="R44" i="2"/>
  <c r="R36" i="2"/>
  <c r="R31" i="2"/>
  <c r="R35" i="2" s="1"/>
  <c r="M17" i="2"/>
  <c r="M14" i="2"/>
  <c r="M12" i="2"/>
  <c r="M9" i="2"/>
  <c r="M8" i="2"/>
  <c r="M10" i="2" s="1"/>
  <c r="M7" i="2"/>
  <c r="M6" i="2"/>
  <c r="M4" i="2"/>
  <c r="M3" i="2"/>
  <c r="M5" i="2" s="1"/>
  <c r="Q17" i="2"/>
  <c r="Q14" i="2"/>
  <c r="Q12" i="2"/>
  <c r="Q10" i="2"/>
  <c r="Q9" i="2"/>
  <c r="Q8" i="2"/>
  <c r="Q7" i="2"/>
  <c r="Q6" i="2"/>
  <c r="Q4" i="2"/>
  <c r="Q3" i="2"/>
  <c r="Q5" i="2" s="1"/>
  <c r="J10" i="2"/>
  <c r="J5" i="2"/>
  <c r="J23" i="2" s="1"/>
  <c r="K10" i="2"/>
  <c r="K5" i="2"/>
  <c r="K23" i="2" s="1"/>
  <c r="O10" i="2"/>
  <c r="O5" i="2"/>
  <c r="L10" i="2"/>
  <c r="L5" i="2"/>
  <c r="L23" i="2" s="1"/>
  <c r="P10" i="2"/>
  <c r="P5" i="2"/>
  <c r="AF10" i="2"/>
  <c r="AF5" i="2"/>
  <c r="AF23" i="2" s="1"/>
  <c r="AG10" i="2"/>
  <c r="AG5" i="2"/>
  <c r="AH10" i="2"/>
  <c r="AH5" i="2"/>
  <c r="N10" i="2"/>
  <c r="N5" i="2"/>
  <c r="R10" i="2"/>
  <c r="R5" i="2"/>
  <c r="L8" i="1"/>
  <c r="L7" i="1"/>
  <c r="L5" i="1"/>
  <c r="Y2" i="2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M54" i="2" l="1"/>
  <c r="Q54" i="2"/>
  <c r="Q25" i="2"/>
  <c r="Q23" i="2"/>
  <c r="M23" i="2"/>
  <c r="M11" i="2"/>
  <c r="R11" i="2"/>
  <c r="Q11" i="2"/>
  <c r="J11" i="2"/>
  <c r="N23" i="2"/>
  <c r="K11" i="2"/>
  <c r="K13" i="2" s="1"/>
  <c r="K21" i="2" s="1"/>
  <c r="O23" i="2"/>
  <c r="O11" i="2"/>
  <c r="P23" i="2"/>
  <c r="L11" i="2"/>
  <c r="P11" i="2"/>
  <c r="AF11" i="2"/>
  <c r="AG23" i="2"/>
  <c r="AH23" i="2"/>
  <c r="AG11" i="2"/>
  <c r="AH11" i="2"/>
  <c r="AH19" i="2"/>
  <c r="AH13" i="2"/>
  <c r="R23" i="2"/>
  <c r="N11" i="2"/>
  <c r="Q19" i="2" l="1"/>
  <c r="Q13" i="2"/>
  <c r="R13" i="2"/>
  <c r="R19" i="2"/>
  <c r="M19" i="2"/>
  <c r="M13" i="2"/>
  <c r="J19" i="2"/>
  <c r="J13" i="2"/>
  <c r="K15" i="2"/>
  <c r="K20" i="2" s="1"/>
  <c r="K19" i="2"/>
  <c r="K16" i="2"/>
  <c r="O13" i="2"/>
  <c r="O19" i="2"/>
  <c r="L19" i="2"/>
  <c r="L13" i="2"/>
  <c r="P13" i="2"/>
  <c r="P19" i="2"/>
  <c r="AF19" i="2"/>
  <c r="AF13" i="2"/>
  <c r="AG19" i="2"/>
  <c r="AG13" i="2"/>
  <c r="AH21" i="2"/>
  <c r="AH15" i="2"/>
  <c r="N19" i="2"/>
  <c r="N13" i="2"/>
  <c r="M15" i="2" l="1"/>
  <c r="M21" i="2"/>
  <c r="R15" i="2"/>
  <c r="R21" i="2"/>
  <c r="Q15" i="2"/>
  <c r="Q21" i="2"/>
  <c r="J21" i="2"/>
  <c r="J15" i="2"/>
  <c r="O15" i="2"/>
  <c r="O21" i="2"/>
  <c r="L21" i="2"/>
  <c r="L15" i="2"/>
  <c r="P21" i="2"/>
  <c r="P15" i="2"/>
  <c r="AF21" i="2"/>
  <c r="AF15" i="2"/>
  <c r="AG21" i="2"/>
  <c r="AG15" i="2"/>
  <c r="AH20" i="2"/>
  <c r="AH16" i="2"/>
  <c r="N21" i="2"/>
  <c r="N15" i="2"/>
  <c r="M20" i="2" l="1"/>
  <c r="M16" i="2"/>
  <c r="Q20" i="2"/>
  <c r="Q16" i="2"/>
  <c r="R16" i="2"/>
  <c r="R20" i="2"/>
  <c r="J20" i="2"/>
  <c r="J16" i="2"/>
  <c r="O20" i="2"/>
  <c r="O16" i="2"/>
  <c r="L20" i="2"/>
  <c r="L16" i="2"/>
  <c r="P20" i="2"/>
  <c r="P16" i="2"/>
  <c r="AF20" i="2"/>
  <c r="AF16" i="2"/>
  <c r="AG20" i="2"/>
  <c r="AG16" i="2"/>
  <c r="N20" i="2"/>
  <c r="N16" i="2"/>
</calcChain>
</file>

<file path=xl/sharedStrings.xml><?xml version="1.0" encoding="utf-8"?>
<sst xmlns="http://schemas.openxmlformats.org/spreadsheetml/2006/main" count="74" uniqueCount="68">
  <si>
    <t>Revenue</t>
  </si>
  <si>
    <t>SG&amp;A</t>
  </si>
  <si>
    <t>Operating expense</t>
  </si>
  <si>
    <t>Operating income</t>
  </si>
  <si>
    <t>Interest income</t>
  </si>
  <si>
    <t>Pretax</t>
  </si>
  <si>
    <t>Taxes</t>
  </si>
  <si>
    <t>Net income</t>
  </si>
  <si>
    <t>EPS</t>
  </si>
  <si>
    <t>Shares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</si>
  <si>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</si>
  <si>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</si>
  <si>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</si>
  <si>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</si>
  <si>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</si>
  <si>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</si>
  <si>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</si>
  <si>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</si>
  <si>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</si>
  <si>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</si>
  <si>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</si>
  <si>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</si>
  <si>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</si>
  <si>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</si>
  <si>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</si>
  <si>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</si>
  <si>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</si>
  <si>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</si>
  <si>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</si>
  <si>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</si>
  <si>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</si>
  <si>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</si>
  <si>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</si>
  <si>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</si>
  <si>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</si>
  <si>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Service</t>
  </si>
  <si>
    <t>Equipment</t>
  </si>
  <si>
    <t>Q125</t>
  </si>
  <si>
    <t>D&amp;A</t>
  </si>
  <si>
    <t>COGS equipment</t>
  </si>
  <si>
    <t>COGS other</t>
  </si>
  <si>
    <t>Net cash</t>
  </si>
  <si>
    <t>AR</t>
  </si>
  <si>
    <t>Inventories</t>
  </si>
  <si>
    <t>Prepaid</t>
  </si>
  <si>
    <t>PP&amp;E</t>
  </si>
  <si>
    <t>Goodwill</t>
  </si>
  <si>
    <t>Investments to equity</t>
  </si>
  <si>
    <t>L/ROU</t>
  </si>
  <si>
    <t>Other</t>
  </si>
  <si>
    <t>Assets</t>
  </si>
  <si>
    <t>AP</t>
  </si>
  <si>
    <t>Deposits</t>
  </si>
  <si>
    <t>Dividends</t>
  </si>
  <si>
    <t>DT</t>
  </si>
  <si>
    <t>Benifits</t>
  </si>
  <si>
    <t>Lease</t>
  </si>
  <si>
    <t>ONCL</t>
  </si>
  <si>
    <t>Liabilties</t>
  </si>
  <si>
    <t>S/E</t>
  </si>
  <si>
    <t>L+S/E</t>
  </si>
  <si>
    <t>NCI</t>
  </si>
  <si>
    <t>NI TTM</t>
  </si>
  <si>
    <t>ROTA</t>
  </si>
  <si>
    <t>CFFO</t>
  </si>
  <si>
    <t>CapEx</t>
  </si>
  <si>
    <t>FCF</t>
  </si>
  <si>
    <t>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</si>
</sst>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;@"/>
    <numFmt numFmtId="165" formatCode="0\x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0</xdr:row>
      <xdr:rowOff>0</xdr:rowOff>
    </xdr:from>
    <xdr:to>
      <xdr:col>18</xdr:col>
      <xdr:colOff>38100</xdr:colOff>
      <xdr:row>55</xdr:row>
      <xdr:rowOff>152400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A0FDC6A2-3080-CDDB-44A1-494A6D3DFEE7}"/>
            </a:ext>
          </a:extLst>
        </xdr:cNvPr>
        <xdr:cNvCxnSpPr/>
      </xdr:nvCxnSpPr>
      <xdr:spPr>
        <a:xfrm>
          <a:off x="11515725" y="0"/>
          <a:ext cx="0" cy="889635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0</xdr:row>
      <xdr:rowOff>0</xdr:rowOff>
    </xdr:from>
    <xdr:to>
      <xdr:col>34</xdr:col>
      <xdr:colOff>38100</xdr:colOff>
      <xdr:row>59</xdr:row>
      <xdr:rowOff>57150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DBFD94D-42F7-4762-9068-7E28BFB94611}"/>
            </a:ext>
          </a:extLst>
        </xdr:cNvPr>
        <xdr:cNvCxnSpPr/>
      </xdr:nvCxnSpPr>
      <xdr:spPr>
        <a:xfrm>
          <a:off x="21269325" y="0"/>
          <a:ext cx="0" cy="9610725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F2741-1C90-4D21-9529-5F1149EB96F3}">
  <dimension ref="K3:M10"/>
  <sheetViews>
    <sheetView tabSelected="1" workbookViewId="0">
      <selection activeCell="F16" sqref="F16"/>
    </sheetView>
  </sheetViews>
  <sheetFormatPr defaultRowHeight="12.75" x14ac:dyDescent="0.2"/>
  <sheetData>
    <row r="3" spans="11:13" x14ac:dyDescent="0.2">
      <c r="K3" t="s">
        <v>30</v>
      </c>
      <c r="L3">
        <v>27.64</v>
      </c>
    </row>
    <row r="4" spans="11:13" x14ac:dyDescent="0.2">
      <c r="K4" t="s">
        <v>9</v>
      </c>
      <c r="L4" s="1">
        <v>7195.6021780000001</v>
      </c>
      <c r="M4" s="9" t="s">
        <v>37</v>
      </c>
    </row>
    <row r="5" spans="11:13" x14ac:dyDescent="0.2">
      <c r="K5" t="s">
        <v>31</v>
      </c>
      <c r="L5" s="1">
        <f>+L3*L4</f>
        <v>198886.44419992002</v>
      </c>
      <c r="M5" s="9"/>
    </row>
    <row r="6" spans="11:13" x14ac:dyDescent="0.2">
      <c r="K6" t="s">
        <v>32</v>
      </c>
      <c r="L6" s="1">
        <v>6885</v>
      </c>
      <c r="M6" s="9" t="s">
        <v>37</v>
      </c>
    </row>
    <row r="7" spans="11:13" x14ac:dyDescent="0.2">
      <c r="K7" t="s">
        <v>33</v>
      </c>
      <c r="L7" s="1">
        <f>8902+117259</f>
        <v>126161</v>
      </c>
      <c r="M7" s="9" t="s">
        <v>37</v>
      </c>
    </row>
    <row r="8" spans="11:13" x14ac:dyDescent="0.2">
      <c r="K8" t="s">
        <v>34</v>
      </c>
      <c r="L8" s="1">
        <f>+L5-L6+L7</f>
        <v>318162.44419992005</v>
      </c>
    </row>
    <row r="9" spans="11:13" x14ac:dyDescent="0.2">
      <c r="L9" s="1">
        <v>13057</v>
      </c>
    </row>
    <row r="10" spans="11:13" x14ac:dyDescent="0.2">
      <c r="L10" s="8">
        <f>+L8/L9</f>
        <v>24.3671933981711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4559-3C1C-4CC9-A03E-8C574683884D}">
  <dimension ref="A1:AR55"/>
  <sheetViews>
    <sheetView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M35" sqref="M35"/>
    </sheetView>
  </sheetViews>
  <sheetFormatPr defaultRowHeight="12.75" x14ac:dyDescent="0.2"/>
  <cols>
    <col min="1" max="1" width="16.7109375" style="1" bestFit="1" customWidth="1"/>
    <col min="2" max="16384" width="9.140625" style="1"/>
  </cols>
  <sheetData>
    <row r="1" spans="1:44" s="7" customFormat="1" x14ac:dyDescent="0.2">
      <c r="J1" s="7">
        <v>45016</v>
      </c>
      <c r="K1" s="7">
        <v>45107</v>
      </c>
      <c r="L1" s="7">
        <v>45199</v>
      </c>
      <c r="M1" s="7">
        <v>45291</v>
      </c>
      <c r="N1" s="7">
        <v>45382</v>
      </c>
      <c r="O1" s="7">
        <v>45473</v>
      </c>
      <c r="P1" s="7">
        <v>45565</v>
      </c>
      <c r="Q1" s="7">
        <v>45657</v>
      </c>
      <c r="R1" s="7">
        <v>45747</v>
      </c>
    </row>
    <row r="2" spans="1:44" x14ac:dyDescent="0.2">
      <c r="A2" s="2"/>
      <c r="B2" s="2" t="s">
        <v>14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15</v>
      </c>
      <c r="H2" s="2" t="s">
        <v>16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37</v>
      </c>
      <c r="S2" s="2"/>
      <c r="T2" s="2"/>
      <c r="U2" s="2"/>
      <c r="V2" s="2"/>
      <c r="X2">
        <v>2014</v>
      </c>
      <c r="Y2">
        <f>+X2+1</f>
        <v>2015</v>
      </c>
      <c r="Z2">
        <f t="shared" ref="Z2:AR2" si="0">+Y2+1</f>
        <v>2016</v>
      </c>
      <c r="AA2">
        <f t="shared" si="0"/>
        <v>2017</v>
      </c>
      <c r="AB2">
        <f t="shared" si="0"/>
        <v>2018</v>
      </c>
      <c r="AC2">
        <f t="shared" si="0"/>
        <v>2019</v>
      </c>
      <c r="AD2">
        <f t="shared" si="0"/>
        <v>2020</v>
      </c>
      <c r="AE2">
        <f t="shared" si="0"/>
        <v>2021</v>
      </c>
      <c r="AF2">
        <f t="shared" si="0"/>
        <v>2022</v>
      </c>
      <c r="AG2">
        <f t="shared" si="0"/>
        <v>2023</v>
      </c>
      <c r="AH2">
        <f t="shared" si="0"/>
        <v>2024</v>
      </c>
      <c r="AI2">
        <f t="shared" si="0"/>
        <v>2025</v>
      </c>
      <c r="AJ2">
        <f t="shared" si="0"/>
        <v>2026</v>
      </c>
      <c r="AK2">
        <f t="shared" si="0"/>
        <v>2027</v>
      </c>
      <c r="AL2">
        <f t="shared" si="0"/>
        <v>2028</v>
      </c>
      <c r="AM2">
        <f t="shared" si="0"/>
        <v>2029</v>
      </c>
      <c r="AN2">
        <f t="shared" si="0"/>
        <v>2030</v>
      </c>
      <c r="AO2">
        <f t="shared" si="0"/>
        <v>2031</v>
      </c>
      <c r="AP2">
        <f t="shared" si="0"/>
        <v>2032</v>
      </c>
      <c r="AQ2">
        <f t="shared" si="0"/>
        <v>2033</v>
      </c>
      <c r="AR2">
        <f t="shared" si="0"/>
        <v>2034</v>
      </c>
    </row>
    <row r="3" spans="1:44" x14ac:dyDescent="0.2">
      <c r="A3" s="1" t="s">
        <v>35</v>
      </c>
      <c r="B3" s="2"/>
      <c r="C3" s="2"/>
      <c r="D3" s="2"/>
      <c r="E3" s="2"/>
      <c r="F3" s="2"/>
      <c r="G3" s="2"/>
      <c r="H3" s="2"/>
      <c r="I3" s="2"/>
      <c r="J3" s="2">
        <v>24617</v>
      </c>
      <c r="K3" s="2">
        <v>24850</v>
      </c>
      <c r="L3" s="2">
        <v>25112</v>
      </c>
      <c r="M3" s="2">
        <f>+AG3-SUM(J3:L3)</f>
        <v>25070</v>
      </c>
      <c r="N3" s="2">
        <v>24842</v>
      </c>
      <c r="O3" s="2">
        <v>25006</v>
      </c>
      <c r="P3" s="2">
        <v>25134</v>
      </c>
      <c r="Q3" s="2">
        <f>+AH3-SUM(N3:P3)</f>
        <v>25153</v>
      </c>
      <c r="R3" s="2">
        <v>25138</v>
      </c>
      <c r="S3" s="2"/>
      <c r="T3" s="2"/>
      <c r="U3" s="2"/>
      <c r="V3" s="2"/>
      <c r="X3"/>
      <c r="Y3"/>
      <c r="Z3"/>
      <c r="AA3"/>
      <c r="AB3"/>
      <c r="AC3"/>
      <c r="AD3"/>
      <c r="AE3"/>
      <c r="AF3" s="2">
        <v>97831</v>
      </c>
      <c r="AG3" s="2">
        <v>99649</v>
      </c>
      <c r="AH3" s="2">
        <v>100135</v>
      </c>
      <c r="AI3"/>
      <c r="AJ3"/>
      <c r="AK3"/>
      <c r="AL3"/>
      <c r="AM3"/>
      <c r="AN3"/>
      <c r="AO3"/>
      <c r="AP3"/>
      <c r="AQ3"/>
      <c r="AR3"/>
    </row>
    <row r="4" spans="1:44" x14ac:dyDescent="0.2">
      <c r="A4" s="1" t="s">
        <v>36</v>
      </c>
      <c r="B4" s="2"/>
      <c r="C4" s="2"/>
      <c r="D4" s="2"/>
      <c r="E4" s="2"/>
      <c r="F4" s="2"/>
      <c r="G4" s="2"/>
      <c r="H4" s="2"/>
      <c r="I4" s="2"/>
      <c r="J4" s="2">
        <v>5522</v>
      </c>
      <c r="K4" s="2">
        <v>5067</v>
      </c>
      <c r="L4" s="2">
        <v>5238</v>
      </c>
      <c r="M4" s="2">
        <f>+AG4-SUM(J4:L4)</f>
        <v>6952</v>
      </c>
      <c r="N4" s="2">
        <v>5186</v>
      </c>
      <c r="O4" s="2">
        <v>4791</v>
      </c>
      <c r="P4" s="2">
        <v>5079</v>
      </c>
      <c r="Q4" s="2">
        <f>+AH4-SUM(N4:P4)</f>
        <v>7145</v>
      </c>
      <c r="R4" s="2">
        <v>5488</v>
      </c>
      <c r="S4" s="2"/>
      <c r="T4" s="2"/>
      <c r="U4" s="2"/>
      <c r="V4" s="2"/>
      <c r="X4"/>
      <c r="Y4"/>
      <c r="Z4"/>
      <c r="AA4"/>
      <c r="AB4"/>
      <c r="AC4"/>
      <c r="AD4"/>
      <c r="AE4"/>
      <c r="AF4" s="2">
        <v>22910</v>
      </c>
      <c r="AG4" s="2">
        <v>22779</v>
      </c>
      <c r="AH4" s="2">
        <v>22201</v>
      </c>
      <c r="AI4"/>
      <c r="AJ4"/>
      <c r="AK4"/>
      <c r="AL4"/>
      <c r="AM4"/>
      <c r="AN4"/>
      <c r="AO4"/>
      <c r="AP4"/>
      <c r="AQ4"/>
      <c r="AR4"/>
    </row>
    <row r="5" spans="1:44" s="5" customFormat="1" x14ac:dyDescent="0.2">
      <c r="A5" s="5" t="s">
        <v>0</v>
      </c>
      <c r="J5" s="5">
        <f t="shared" ref="J5:R5" si="1">+J3+J4</f>
        <v>30139</v>
      </c>
      <c r="K5" s="5">
        <f t="shared" si="1"/>
        <v>29917</v>
      </c>
      <c r="L5" s="5">
        <f t="shared" si="1"/>
        <v>30350</v>
      </c>
      <c r="M5" s="5">
        <f t="shared" si="1"/>
        <v>32022</v>
      </c>
      <c r="N5" s="5">
        <f t="shared" si="1"/>
        <v>30028</v>
      </c>
      <c r="O5" s="5">
        <f t="shared" si="1"/>
        <v>29797</v>
      </c>
      <c r="P5" s="5">
        <f t="shared" si="1"/>
        <v>30213</v>
      </c>
      <c r="Q5" s="5">
        <f t="shared" si="1"/>
        <v>32298</v>
      </c>
      <c r="R5" s="5">
        <f t="shared" si="1"/>
        <v>30626</v>
      </c>
      <c r="AF5" s="5">
        <f>+AF3+AF4</f>
        <v>120741</v>
      </c>
      <c r="AG5" s="5">
        <f>+AG3+AG4</f>
        <v>122428</v>
      </c>
      <c r="AH5" s="5">
        <f>+AH3+AH4</f>
        <v>122336</v>
      </c>
    </row>
    <row r="6" spans="1:44" x14ac:dyDescent="0.2">
      <c r="A6" s="1" t="s">
        <v>39</v>
      </c>
      <c r="J6" s="1">
        <v>5658</v>
      </c>
      <c r="K6" s="1">
        <v>5056</v>
      </c>
      <c r="L6" s="1">
        <v>5219</v>
      </c>
      <c r="M6" s="2">
        <f t="shared" ref="M6:M9" si="2">+AG6-SUM(J6:L6)</f>
        <v>7203</v>
      </c>
      <c r="N6" s="1">
        <v>5143</v>
      </c>
      <c r="O6" s="1">
        <v>4815</v>
      </c>
      <c r="P6" s="1">
        <v>4933</v>
      </c>
      <c r="Q6" s="2">
        <f t="shared" ref="Q6:Q9" si="3">+AH6-SUM(N6:P6)</f>
        <v>7358</v>
      </c>
      <c r="R6" s="1">
        <v>5694</v>
      </c>
      <c r="AF6" s="1">
        <v>24009</v>
      </c>
      <c r="AG6" s="1">
        <v>23136</v>
      </c>
      <c r="AH6" s="1">
        <v>22249</v>
      </c>
    </row>
    <row r="7" spans="1:44" x14ac:dyDescent="0.2">
      <c r="A7" s="1" t="s">
        <v>40</v>
      </c>
      <c r="J7" s="1">
        <v>6673</v>
      </c>
      <c r="K7" s="1">
        <v>6771</v>
      </c>
      <c r="L7" s="1">
        <v>6835</v>
      </c>
      <c r="M7" s="2">
        <f t="shared" si="2"/>
        <v>6708</v>
      </c>
      <c r="N7" s="1">
        <v>6811</v>
      </c>
      <c r="O7" s="1">
        <v>6627</v>
      </c>
      <c r="P7" s="1">
        <v>6697</v>
      </c>
      <c r="Q7" s="2">
        <f t="shared" si="3"/>
        <v>6837</v>
      </c>
      <c r="R7" s="1">
        <v>6339</v>
      </c>
      <c r="AF7" s="1">
        <v>26839</v>
      </c>
      <c r="AG7" s="1">
        <v>26987</v>
      </c>
      <c r="AH7" s="1">
        <v>26972</v>
      </c>
    </row>
    <row r="8" spans="1:44" x14ac:dyDescent="0.2">
      <c r="A8" s="1" t="s">
        <v>1</v>
      </c>
      <c r="J8" s="1">
        <v>7175</v>
      </c>
      <c r="K8" s="1">
        <v>7009</v>
      </c>
      <c r="L8" s="1">
        <v>7205</v>
      </c>
      <c r="M8" s="2">
        <f t="shared" si="2"/>
        <v>7485</v>
      </c>
      <c r="N8" s="1">
        <v>7021</v>
      </c>
      <c r="O8" s="1">
        <v>7043</v>
      </c>
      <c r="P8" s="1">
        <v>6958</v>
      </c>
      <c r="Q8" s="2">
        <f t="shared" si="3"/>
        <v>7389</v>
      </c>
      <c r="R8" s="1">
        <v>7145</v>
      </c>
      <c r="AF8" s="1">
        <v>28961</v>
      </c>
      <c r="AG8" s="1">
        <v>28874</v>
      </c>
      <c r="AH8" s="1">
        <v>28411</v>
      </c>
    </row>
    <row r="9" spans="1:44" x14ac:dyDescent="0.2">
      <c r="A9" s="1" t="s">
        <v>38</v>
      </c>
      <c r="J9" s="1">
        <v>4631</v>
      </c>
      <c r="K9" s="1">
        <v>4675</v>
      </c>
      <c r="L9" s="1">
        <v>4705</v>
      </c>
      <c r="M9" s="2">
        <f t="shared" si="2"/>
        <v>4766</v>
      </c>
      <c r="N9" s="1">
        <v>5047</v>
      </c>
      <c r="O9" s="1">
        <v>5072</v>
      </c>
      <c r="P9" s="1">
        <v>4705</v>
      </c>
      <c r="Q9" s="2">
        <f t="shared" si="3"/>
        <v>5756</v>
      </c>
      <c r="R9" s="1">
        <v>5190</v>
      </c>
      <c r="AF9" s="1">
        <v>18021</v>
      </c>
      <c r="AG9" s="1">
        <v>18777</v>
      </c>
      <c r="AH9" s="1">
        <v>20580</v>
      </c>
    </row>
    <row r="10" spans="1:44" x14ac:dyDescent="0.2">
      <c r="A10" s="1" t="s">
        <v>2</v>
      </c>
      <c r="J10" s="1">
        <f t="shared" ref="J10:R10" si="4">+SUM(J6:J9)</f>
        <v>24137</v>
      </c>
      <c r="K10" s="1">
        <f t="shared" si="4"/>
        <v>23511</v>
      </c>
      <c r="L10" s="1">
        <f t="shared" si="4"/>
        <v>23964</v>
      </c>
      <c r="M10" s="1">
        <f t="shared" si="4"/>
        <v>26162</v>
      </c>
      <c r="N10" s="1">
        <f t="shared" si="4"/>
        <v>24022</v>
      </c>
      <c r="O10" s="1">
        <f t="shared" si="4"/>
        <v>23557</v>
      </c>
      <c r="P10" s="1">
        <f t="shared" si="4"/>
        <v>23293</v>
      </c>
      <c r="Q10" s="1">
        <f t="shared" si="4"/>
        <v>27340</v>
      </c>
      <c r="R10" s="1">
        <f t="shared" si="4"/>
        <v>24368</v>
      </c>
      <c r="AF10" s="1">
        <f>+SUM(AF6:AF9)</f>
        <v>97830</v>
      </c>
      <c r="AG10" s="1">
        <f>+SUM(AG6:AG9)</f>
        <v>97774</v>
      </c>
      <c r="AH10" s="1">
        <f>+SUM(AH6:AH9)</f>
        <v>98212</v>
      </c>
    </row>
    <row r="11" spans="1:44" s="5" customFormat="1" x14ac:dyDescent="0.2">
      <c r="A11" s="5" t="s">
        <v>3</v>
      </c>
      <c r="J11" s="5">
        <f t="shared" ref="J11:R11" si="5">+J5-J10</f>
        <v>6002</v>
      </c>
      <c r="K11" s="5">
        <f t="shared" si="5"/>
        <v>6406</v>
      </c>
      <c r="L11" s="5">
        <f t="shared" si="5"/>
        <v>6386</v>
      </c>
      <c r="M11" s="5">
        <f t="shared" si="5"/>
        <v>5860</v>
      </c>
      <c r="N11" s="5">
        <f t="shared" si="5"/>
        <v>6006</v>
      </c>
      <c r="O11" s="5">
        <f t="shared" si="5"/>
        <v>6240</v>
      </c>
      <c r="P11" s="5">
        <f t="shared" si="5"/>
        <v>6920</v>
      </c>
      <c r="Q11" s="5">
        <f t="shared" si="5"/>
        <v>4958</v>
      </c>
      <c r="R11" s="5">
        <f t="shared" si="5"/>
        <v>6258</v>
      </c>
      <c r="AF11" s="5">
        <f>+AF5-AF10</f>
        <v>22911</v>
      </c>
      <c r="AG11" s="5">
        <f>+AG5-AG10</f>
        <v>24654</v>
      </c>
      <c r="AH11" s="5">
        <f>+AH5-AH10</f>
        <v>24124</v>
      </c>
    </row>
    <row r="12" spans="1:44" x14ac:dyDescent="0.2">
      <c r="A12" s="1" t="s">
        <v>4</v>
      </c>
      <c r="J12" s="1">
        <v>-1708</v>
      </c>
      <c r="K12" s="1">
        <v>-1608</v>
      </c>
      <c r="L12" s="1">
        <v>-1662</v>
      </c>
      <c r="M12" s="2">
        <f t="shared" ref="M12" si="6">+AG12-SUM(J12:L12)</f>
        <v>-1726</v>
      </c>
      <c r="N12" s="1">
        <v>-1724</v>
      </c>
      <c r="O12" s="1">
        <v>-1699</v>
      </c>
      <c r="P12" s="1">
        <v>-1662</v>
      </c>
      <c r="Q12" s="2">
        <f t="shared" ref="Q12:Q14" si="7">+AH12-SUM(N12:P12)</f>
        <v>-1674</v>
      </c>
      <c r="R12" s="1">
        <v>-1658</v>
      </c>
      <c r="AF12" s="1">
        <v>-6108</v>
      </c>
      <c r="AG12" s="1">
        <v>-6704</v>
      </c>
      <c r="AH12" s="1">
        <v>-6759</v>
      </c>
    </row>
    <row r="13" spans="1:44" x14ac:dyDescent="0.2">
      <c r="A13" s="1" t="s">
        <v>5</v>
      </c>
      <c r="J13" s="1">
        <f t="shared" ref="J13:R13" si="8">+J11+J12</f>
        <v>4294</v>
      </c>
      <c r="K13" s="1">
        <f t="shared" si="8"/>
        <v>4798</v>
      </c>
      <c r="L13" s="1">
        <f t="shared" si="8"/>
        <v>4724</v>
      </c>
      <c r="M13" s="1">
        <f t="shared" si="8"/>
        <v>4134</v>
      </c>
      <c r="N13" s="1">
        <f t="shared" si="8"/>
        <v>4282</v>
      </c>
      <c r="O13" s="1">
        <f t="shared" si="8"/>
        <v>4541</v>
      </c>
      <c r="P13" s="1">
        <f t="shared" si="8"/>
        <v>5258</v>
      </c>
      <c r="Q13" s="1">
        <f t="shared" si="8"/>
        <v>3284</v>
      </c>
      <c r="R13" s="1">
        <f t="shared" si="8"/>
        <v>4600</v>
      </c>
      <c r="AF13" s="1">
        <f>+AF11+AF12</f>
        <v>16803</v>
      </c>
      <c r="AG13" s="1">
        <f>+AG11+AG12</f>
        <v>17950</v>
      </c>
      <c r="AH13" s="1">
        <f>+AH11+AH12</f>
        <v>17365</v>
      </c>
    </row>
    <row r="14" spans="1:44" x14ac:dyDescent="0.2">
      <c r="A14" s="1" t="s">
        <v>6</v>
      </c>
      <c r="J14" s="1">
        <v>1314</v>
      </c>
      <c r="K14" s="1">
        <v>1403</v>
      </c>
      <c r="L14" s="1">
        <v>1154</v>
      </c>
      <c r="M14" s="2">
        <f t="shared" ref="M14" si="9">+AG14-SUM(J14:L14)</f>
        <v>354</v>
      </c>
      <c r="N14" s="1">
        <v>1118</v>
      </c>
      <c r="O14" s="1">
        <v>1142</v>
      </c>
      <c r="P14" s="1">
        <v>1154</v>
      </c>
      <c r="Q14" s="2">
        <f t="shared" si="7"/>
        <v>1031</v>
      </c>
      <c r="R14" s="1">
        <v>1299</v>
      </c>
      <c r="AF14" s="1">
        <v>3780</v>
      </c>
      <c r="AG14" s="1">
        <v>4225</v>
      </c>
      <c r="AH14" s="1">
        <v>4445</v>
      </c>
    </row>
    <row r="15" spans="1:44" s="5" customFormat="1" x14ac:dyDescent="0.2">
      <c r="A15" s="5" t="s">
        <v>7</v>
      </c>
      <c r="J15" s="5">
        <f t="shared" ref="J15:R15" si="10">+J13-J14</f>
        <v>2980</v>
      </c>
      <c r="K15" s="5">
        <f t="shared" si="10"/>
        <v>3395</v>
      </c>
      <c r="L15" s="5">
        <f t="shared" si="10"/>
        <v>3570</v>
      </c>
      <c r="M15" s="5">
        <f t="shared" si="10"/>
        <v>3780</v>
      </c>
      <c r="N15" s="5">
        <f t="shared" si="10"/>
        <v>3164</v>
      </c>
      <c r="O15" s="5">
        <f t="shared" si="10"/>
        <v>3399</v>
      </c>
      <c r="P15" s="5">
        <f t="shared" si="10"/>
        <v>4104</v>
      </c>
      <c r="Q15" s="5">
        <f t="shared" si="10"/>
        <v>2253</v>
      </c>
      <c r="R15" s="5">
        <f t="shared" si="10"/>
        <v>3301</v>
      </c>
      <c r="AF15" s="5">
        <f>+AF13-AF14</f>
        <v>13023</v>
      </c>
      <c r="AG15" s="5">
        <f>+AG13-AG14</f>
        <v>13725</v>
      </c>
      <c r="AH15" s="5">
        <f>+AH13-AH14</f>
        <v>12920</v>
      </c>
    </row>
    <row r="16" spans="1:44" s="4" customFormat="1" x14ac:dyDescent="0.2">
      <c r="A16" s="4" t="s">
        <v>8</v>
      </c>
      <c r="J16" s="4">
        <f t="shared" ref="J16:R16" si="11">+J15/J17</f>
        <v>0.3987155472303987</v>
      </c>
      <c r="K16" s="4">
        <f t="shared" si="11"/>
        <v>0.47284122562674097</v>
      </c>
      <c r="L16" s="4">
        <f t="shared" si="11"/>
        <v>0.49686847599164929</v>
      </c>
      <c r="M16" s="4">
        <f t="shared" si="11"/>
        <v>0.52551091338801614</v>
      </c>
      <c r="N16" s="4">
        <f t="shared" si="11"/>
        <v>0.43987209787293202</v>
      </c>
      <c r="O16" s="4">
        <f t="shared" si="11"/>
        <v>0.47221450402889692</v>
      </c>
      <c r="P16" s="4">
        <f t="shared" si="11"/>
        <v>0.5693673695893452</v>
      </c>
      <c r="Q16" s="4">
        <f t="shared" si="11"/>
        <v>0.31217957600110852</v>
      </c>
      <c r="R16" s="4">
        <f t="shared" si="11"/>
        <v>0.45701232174996537</v>
      </c>
      <c r="AF16" s="4">
        <f>+AF15/AF17</f>
        <v>1.7164887307236061</v>
      </c>
      <c r="AG16" s="4">
        <f>+AG15/AG17</f>
        <v>1.8910168090383026</v>
      </c>
      <c r="AH16" s="4">
        <f>+AH15/AH17</f>
        <v>1.7934480843975569</v>
      </c>
    </row>
    <row r="17" spans="1:34" x14ac:dyDescent="0.2">
      <c r="A17" s="1" t="s">
        <v>9</v>
      </c>
      <c r="J17" s="1">
        <v>7474</v>
      </c>
      <c r="K17" s="1">
        <v>7180</v>
      </c>
      <c r="L17" s="1">
        <v>7185</v>
      </c>
      <c r="M17" s="1">
        <f>+AG17*4-SUM(J17:L17)</f>
        <v>7193</v>
      </c>
      <c r="N17" s="1">
        <v>7193</v>
      </c>
      <c r="O17" s="1">
        <v>7198</v>
      </c>
      <c r="P17" s="1">
        <v>7208</v>
      </c>
      <c r="Q17" s="1">
        <f>+AH17*4-SUM(N17:P17)</f>
        <v>7217</v>
      </c>
      <c r="R17" s="1">
        <v>7223</v>
      </c>
      <c r="AF17" s="1">
        <v>7587</v>
      </c>
      <c r="AG17" s="1">
        <v>7258</v>
      </c>
      <c r="AH17" s="1">
        <v>7204</v>
      </c>
    </row>
    <row r="19" spans="1:34" s="3" customFormat="1" x14ac:dyDescent="0.2">
      <c r="A19" s="3" t="s">
        <v>10</v>
      </c>
      <c r="J19" s="3">
        <f t="shared" ref="J19:R19" si="12">+J11/J5</f>
        <v>0.19914396628952519</v>
      </c>
      <c r="K19" s="3">
        <f t="shared" si="12"/>
        <v>0.21412574790253033</v>
      </c>
      <c r="L19" s="3">
        <f t="shared" si="12"/>
        <v>0.21041186161449754</v>
      </c>
      <c r="M19" s="3">
        <f t="shared" si="12"/>
        <v>0.18299918805820997</v>
      </c>
      <c r="N19" s="3">
        <f t="shared" si="12"/>
        <v>0.20001332090049287</v>
      </c>
      <c r="O19" s="3">
        <f t="shared" si="12"/>
        <v>0.20941705540826258</v>
      </c>
      <c r="P19" s="3">
        <f t="shared" si="12"/>
        <v>0.22904047926389304</v>
      </c>
      <c r="Q19" s="3">
        <f t="shared" si="12"/>
        <v>0.15350795714904947</v>
      </c>
      <c r="R19" s="3">
        <f t="shared" si="12"/>
        <v>0.20433618494089989</v>
      </c>
      <c r="AF19" s="3">
        <f>+AF11/AF5</f>
        <v>0.18975327353591573</v>
      </c>
      <c r="AG19" s="3">
        <f>+AG11/AG5</f>
        <v>0.20137550233606691</v>
      </c>
      <c r="AH19" s="3">
        <f>+AH11/AH5</f>
        <v>0.19719461156160084</v>
      </c>
    </row>
    <row r="20" spans="1:34" s="3" customFormat="1" x14ac:dyDescent="0.2">
      <c r="A20" s="3" t="s">
        <v>11</v>
      </c>
      <c r="J20" s="3">
        <f t="shared" ref="J20:R20" si="13">+J15/J5</f>
        <v>9.8875211519957526E-2</v>
      </c>
      <c r="K20" s="3">
        <f t="shared" si="13"/>
        <v>0.113480629742287</v>
      </c>
      <c r="L20" s="3">
        <f t="shared" si="13"/>
        <v>0.11762767710049424</v>
      </c>
      <c r="M20" s="3">
        <f t="shared" si="13"/>
        <v>0.11804384485666104</v>
      </c>
      <c r="N20" s="3">
        <f t="shared" si="13"/>
        <v>0.10536832289862795</v>
      </c>
      <c r="O20" s="3">
        <f t="shared" si="13"/>
        <v>0.11407188643151996</v>
      </c>
      <c r="P20" s="3">
        <f t="shared" si="13"/>
        <v>0.13583556747095621</v>
      </c>
      <c r="Q20" s="3">
        <f t="shared" si="13"/>
        <v>6.975664127809772E-2</v>
      </c>
      <c r="R20" s="3">
        <f t="shared" si="13"/>
        <v>0.10778423561679619</v>
      </c>
      <c r="AF20" s="3">
        <f>+AF15/AF5</f>
        <v>0.10785897085497055</v>
      </c>
      <c r="AG20" s="3">
        <f>+AG15/AG5</f>
        <v>0.11210670761590485</v>
      </c>
      <c r="AH20" s="3">
        <f>+AH15/AH5</f>
        <v>0.10561077687679833</v>
      </c>
    </row>
    <row r="21" spans="1:34" s="3" customFormat="1" x14ac:dyDescent="0.2">
      <c r="A21" s="3" t="s">
        <v>12</v>
      </c>
      <c r="J21" s="3">
        <f t="shared" ref="J21:R21" si="14">+J14/J13</f>
        <v>0.30600838379133677</v>
      </c>
      <c r="K21" s="3">
        <f t="shared" si="14"/>
        <v>0.29241350562734475</v>
      </c>
      <c r="L21" s="3">
        <f t="shared" si="14"/>
        <v>0.24428450465707027</v>
      </c>
      <c r="M21" s="3">
        <f t="shared" si="14"/>
        <v>8.5631349782293184E-2</v>
      </c>
      <c r="N21" s="3">
        <f t="shared" si="14"/>
        <v>0.2610929472209248</v>
      </c>
      <c r="O21" s="3">
        <f t="shared" si="14"/>
        <v>0.25148645672759307</v>
      </c>
      <c r="P21" s="3">
        <f t="shared" si="14"/>
        <v>0.21947508558387219</v>
      </c>
      <c r="Q21" s="3">
        <f t="shared" si="14"/>
        <v>0.31394640682095004</v>
      </c>
      <c r="R21" s="3">
        <f t="shared" si="14"/>
        <v>0.28239130434782611</v>
      </c>
      <c r="AF21" s="3">
        <f>+AF14/AF13</f>
        <v>0.22495982860203534</v>
      </c>
      <c r="AG21" s="3">
        <f>+AG14/AG13</f>
        <v>0.23537604456824512</v>
      </c>
      <c r="AH21" s="3">
        <f>+AH14/AH13</f>
        <v>0.25597466167578464</v>
      </c>
    </row>
    <row r="22" spans="1:34" s="3" customFormat="1" x14ac:dyDescent="0.2"/>
    <row r="23" spans="1:34" s="6" customFormat="1" x14ac:dyDescent="0.2">
      <c r="A23" s="6" t="s">
        <v>13</v>
      </c>
      <c r="J23" s="6" t="e">
        <f t="shared" ref="J23:R23" si="15">+J5/F5-1</f>
        <v>#DIV/0!</v>
      </c>
      <c r="K23" s="6" t="e">
        <f t="shared" si="15"/>
        <v>#DIV/0!</v>
      </c>
      <c r="L23" s="6" t="e">
        <f t="shared" si="15"/>
        <v>#DIV/0!</v>
      </c>
      <c r="M23" s="6" t="e">
        <f t="shared" si="15"/>
        <v>#DIV/0!</v>
      </c>
      <c r="N23" s="6">
        <f t="shared" si="15"/>
        <v>-3.6829357311125577E-3</v>
      </c>
      <c r="O23" s="6">
        <f t="shared" si="15"/>
        <v>-4.0110973693886498E-3</v>
      </c>
      <c r="P23" s="6">
        <f t="shared" si="15"/>
        <v>-4.5140032948929321E-3</v>
      </c>
      <c r="Q23" s="6">
        <f t="shared" si="15"/>
        <v>8.6190743863594488E-3</v>
      </c>
      <c r="R23" s="6">
        <f t="shared" si="15"/>
        <v>1.9914746236845637E-2</v>
      </c>
      <c r="AF23" s="6" t="e">
        <f>+AF5/AE5-1</f>
        <v>#DIV/0!</v>
      </c>
      <c r="AG23" s="6">
        <f>+AG5/AF5-1</f>
        <v>1.3972055888223478E-2</v>
      </c>
      <c r="AH23" s="6">
        <f>+AH5/AG5-1</f>
        <v>-7.5146208383702895E-4</v>
      </c>
    </row>
    <row r="25" spans="1:34" x14ac:dyDescent="0.2">
      <c r="A25" s="1" t="s">
        <v>41</v>
      </c>
      <c r="Q25" s="1">
        <f>+Q26-Q36</f>
        <v>-120234</v>
      </c>
      <c r="R25" s="1">
        <f>+R26-R36</f>
        <v>-119276</v>
      </c>
    </row>
    <row r="26" spans="1:34" x14ac:dyDescent="0.2">
      <c r="A26" s="1" t="s">
        <v>32</v>
      </c>
      <c r="Q26" s="1">
        <v>3298</v>
      </c>
      <c r="R26" s="1">
        <v>6885</v>
      </c>
    </row>
    <row r="27" spans="1:34" x14ac:dyDescent="0.2">
      <c r="A27" s="1" t="s">
        <v>42</v>
      </c>
      <c r="Q27" s="1">
        <v>9638</v>
      </c>
      <c r="R27" s="1">
        <v>9228</v>
      </c>
    </row>
    <row r="28" spans="1:34" x14ac:dyDescent="0.2">
      <c r="A28" s="1" t="s">
        <v>43</v>
      </c>
      <c r="Q28" s="1">
        <v>2270</v>
      </c>
      <c r="R28" s="1">
        <v>2593</v>
      </c>
    </row>
    <row r="29" spans="1:34" x14ac:dyDescent="0.2">
      <c r="A29" s="1" t="s">
        <v>44</v>
      </c>
      <c r="Q29" s="1">
        <v>15962</v>
      </c>
      <c r="R29" s="1">
        <v>15074</v>
      </c>
    </row>
    <row r="30" spans="1:34" x14ac:dyDescent="0.2">
      <c r="A30" s="1" t="s">
        <v>45</v>
      </c>
      <c r="Q30" s="1">
        <v>128871</v>
      </c>
      <c r="R30" s="1">
        <v>128453</v>
      </c>
    </row>
    <row r="31" spans="1:34" x14ac:dyDescent="0.2">
      <c r="A31" s="1" t="s">
        <v>46</v>
      </c>
      <c r="Q31" s="1">
        <f>63432+127035+5255</f>
        <v>195722</v>
      </c>
      <c r="R31" s="1">
        <f>63432+127344+5255</f>
        <v>196031</v>
      </c>
    </row>
    <row r="32" spans="1:34" x14ac:dyDescent="0.2">
      <c r="A32" s="1" t="s">
        <v>47</v>
      </c>
      <c r="Q32" s="1">
        <v>295</v>
      </c>
      <c r="R32" s="1">
        <v>942</v>
      </c>
    </row>
    <row r="33" spans="1:18" x14ac:dyDescent="0.2">
      <c r="A33" s="1" t="s">
        <v>48</v>
      </c>
      <c r="Q33" s="1">
        <v>20909</v>
      </c>
      <c r="R33" s="1">
        <v>21006</v>
      </c>
    </row>
    <row r="34" spans="1:18" x14ac:dyDescent="0.2">
      <c r="A34" s="1" t="s">
        <v>49</v>
      </c>
      <c r="Q34" s="1">
        <v>17830</v>
      </c>
      <c r="R34" s="1">
        <v>17255</v>
      </c>
    </row>
    <row r="35" spans="1:18" s="5" customFormat="1" x14ac:dyDescent="0.2">
      <c r="A35" s="5" t="s">
        <v>50</v>
      </c>
      <c r="Q35" s="5">
        <f>+SUM(Q26:Q34)</f>
        <v>394795</v>
      </c>
      <c r="R35" s="5">
        <f>+SUM(R26:R34)</f>
        <v>397467</v>
      </c>
    </row>
    <row r="36" spans="1:18" x14ac:dyDescent="0.2">
      <c r="A36" s="1" t="s">
        <v>33</v>
      </c>
      <c r="Q36" s="1">
        <f>5089+118443</f>
        <v>123532</v>
      </c>
      <c r="R36" s="1">
        <f>8902+117259</f>
        <v>126161</v>
      </c>
    </row>
    <row r="37" spans="1:18" x14ac:dyDescent="0.2">
      <c r="A37" s="1" t="s">
        <v>51</v>
      </c>
      <c r="Q37" s="1">
        <v>35657</v>
      </c>
      <c r="R37" s="1">
        <v>33113</v>
      </c>
    </row>
    <row r="38" spans="1:18" x14ac:dyDescent="0.2">
      <c r="A38" s="1" t="s">
        <v>52</v>
      </c>
      <c r="Q38" s="1">
        <v>4099</v>
      </c>
      <c r="R38" s="1">
        <v>3951</v>
      </c>
    </row>
    <row r="39" spans="1:18" x14ac:dyDescent="0.2">
      <c r="A39" s="1" t="s">
        <v>53</v>
      </c>
      <c r="Q39" s="1">
        <v>2027</v>
      </c>
      <c r="R39" s="1">
        <v>2033</v>
      </c>
    </row>
    <row r="40" spans="1:18" x14ac:dyDescent="0.2">
      <c r="A40" s="1" t="s">
        <v>54</v>
      </c>
      <c r="Q40" s="1">
        <v>58939</v>
      </c>
      <c r="R40" s="1">
        <v>59144</v>
      </c>
    </row>
    <row r="41" spans="1:18" x14ac:dyDescent="0.2">
      <c r="A41" s="1" t="s">
        <v>55</v>
      </c>
      <c r="Q41" s="1">
        <v>9025</v>
      </c>
      <c r="R41" s="1">
        <v>9040</v>
      </c>
    </row>
    <row r="42" spans="1:18" x14ac:dyDescent="0.2">
      <c r="A42" s="1" t="s">
        <v>56</v>
      </c>
      <c r="Q42" s="1">
        <v>17391</v>
      </c>
      <c r="R42" s="1">
        <v>17433</v>
      </c>
    </row>
    <row r="43" spans="1:18" x14ac:dyDescent="0.2">
      <c r="A43" s="1" t="s">
        <v>57</v>
      </c>
      <c r="Q43" s="1">
        <v>23900</v>
      </c>
      <c r="R43" s="1">
        <v>24753</v>
      </c>
    </row>
    <row r="44" spans="1:18" s="5" customFormat="1" x14ac:dyDescent="0.2">
      <c r="A44" s="5" t="s">
        <v>58</v>
      </c>
      <c r="Q44" s="5">
        <f>+SUM(Q36:Q43)</f>
        <v>274570</v>
      </c>
      <c r="R44" s="5">
        <f>+SUM(R36:R43)</f>
        <v>275628</v>
      </c>
    </row>
    <row r="45" spans="1:18" x14ac:dyDescent="0.2">
      <c r="A45" s="1" t="s">
        <v>61</v>
      </c>
      <c r="Q45" s="1">
        <v>1980</v>
      </c>
      <c r="R45" s="1">
        <v>1981</v>
      </c>
    </row>
    <row r="46" spans="1:18" x14ac:dyDescent="0.2">
      <c r="A46" s="1" t="s">
        <v>59</v>
      </c>
      <c r="Q46" s="1">
        <v>118245</v>
      </c>
      <c r="R46" s="1">
        <v>119858</v>
      </c>
    </row>
    <row r="47" spans="1:18" x14ac:dyDescent="0.2">
      <c r="A47" s="1" t="s">
        <v>60</v>
      </c>
      <c r="Q47" s="1">
        <f>+Q46+Q45+Q44</f>
        <v>394795</v>
      </c>
      <c r="R47" s="1">
        <f>+R46+R45+R44</f>
        <v>397467</v>
      </c>
    </row>
    <row r="49" spans="1:34" x14ac:dyDescent="0.2">
      <c r="A49" s="1" t="s">
        <v>62</v>
      </c>
      <c r="Q49" s="1">
        <f>+SUM(N15:Q15)</f>
        <v>12920</v>
      </c>
      <c r="R49" s="1">
        <f>+SUM(O15:R15)</f>
        <v>13057</v>
      </c>
    </row>
    <row r="50" spans="1:34" s="3" customFormat="1" x14ac:dyDescent="0.2">
      <c r="A50" s="3" t="s">
        <v>63</v>
      </c>
      <c r="Q50" s="3">
        <f>+Q49/(Q27+Q28+Q29+Q30+Q32+Q33+Q34)</f>
        <v>6.5994125909845491E-2</v>
      </c>
      <c r="R50" s="3">
        <f>+R49/(R27+R28+R29+R30+R32+R33+R34)</f>
        <v>6.7113507512169046E-2</v>
      </c>
    </row>
    <row r="52" spans="1:34" x14ac:dyDescent="0.2">
      <c r="A52" s="1" t="s">
        <v>64</v>
      </c>
      <c r="J52" s="1">
        <v>6678</v>
      </c>
      <c r="K52" s="1">
        <v>16600</v>
      </c>
      <c r="L52" s="1">
        <v>26936</v>
      </c>
      <c r="M52" s="1">
        <f>+AG52-SUM(J52:L52)</f>
        <v>-11900</v>
      </c>
      <c r="N52" s="1">
        <v>7547</v>
      </c>
      <c r="O52" s="1">
        <v>16640</v>
      </c>
      <c r="P52" s="1">
        <v>26875</v>
      </c>
      <c r="Q52" s="1">
        <f>+AH52-SUM(N52:P52)</f>
        <v>-12291</v>
      </c>
      <c r="R52" s="1">
        <v>9049</v>
      </c>
      <c r="AF52" s="1">
        <v>35812</v>
      </c>
      <c r="AG52" s="1">
        <v>38314</v>
      </c>
      <c r="AH52" s="1">
        <v>38771</v>
      </c>
    </row>
    <row r="53" spans="1:34" x14ac:dyDescent="0.2">
      <c r="A53" s="1" t="s">
        <v>65</v>
      </c>
      <c r="J53" s="1">
        <v>-4335</v>
      </c>
      <c r="K53" s="1">
        <v>-8605</v>
      </c>
      <c r="L53" s="1">
        <v>-13252</v>
      </c>
      <c r="M53" s="1">
        <f>+AG53-SUM(J53:L53)</f>
        <v>8339</v>
      </c>
      <c r="N53" s="1">
        <v>-3758</v>
      </c>
      <c r="O53" s="1">
        <v>-8118</v>
      </c>
      <c r="P53" s="1">
        <v>-13420</v>
      </c>
      <c r="Q53" s="1">
        <f>+AH53-SUM(N53:P53)</f>
        <v>5033</v>
      </c>
      <c r="R53" s="1">
        <v>-4277</v>
      </c>
      <c r="AF53" s="1">
        <v>-19626</v>
      </c>
      <c r="AG53" s="1">
        <v>-17853</v>
      </c>
      <c r="AH53" s="1">
        <v>-20263</v>
      </c>
    </row>
    <row r="54" spans="1:34" x14ac:dyDescent="0.2">
      <c r="A54" s="1" t="s">
        <v>66</v>
      </c>
      <c r="J54" s="1">
        <f t="shared" ref="J54:Q54" si="16">+J52+J53</f>
        <v>2343</v>
      </c>
      <c r="K54" s="1">
        <f t="shared" si="16"/>
        <v>7995</v>
      </c>
      <c r="L54" s="1">
        <f t="shared" si="16"/>
        <v>13684</v>
      </c>
      <c r="M54" s="1">
        <f t="shared" si="16"/>
        <v>-3561</v>
      </c>
      <c r="N54" s="1">
        <f t="shared" si="16"/>
        <v>3789</v>
      </c>
      <c r="O54" s="1">
        <f t="shared" si="16"/>
        <v>8522</v>
      </c>
      <c r="P54" s="1">
        <f t="shared" si="16"/>
        <v>13455</v>
      </c>
      <c r="Q54" s="1">
        <f t="shared" si="16"/>
        <v>-7258</v>
      </c>
      <c r="R54" s="1">
        <f>+R52+R53</f>
        <v>4772</v>
      </c>
      <c r="AF54" s="1">
        <f t="shared" ref="AF54:AG54" si="17">+AF52+AF53</f>
        <v>16186</v>
      </c>
      <c r="AG54" s="1">
        <f t="shared" si="17"/>
        <v>20461</v>
      </c>
      <c r="AH54" s="1">
        <f>+AH52+AH53</f>
        <v>18508</v>
      </c>
    </row>
    <row r="55" spans="1:34" x14ac:dyDescent="0.2">
      <c r="A55" s="1" t="s">
        <v>67</v>
      </c>
      <c r="M55" s="1">
        <f t="shared" ref="M55:Q55" si="18">+SUM(J54:M54)</f>
        <v>20461</v>
      </c>
      <c r="N55" s="1">
        <f t="shared" si="18"/>
        <v>21907</v>
      </c>
      <c r="O55" s="1">
        <f t="shared" si="18"/>
        <v>22434</v>
      </c>
      <c r="P55" s="1">
        <f t="shared" si="18"/>
        <v>22205</v>
      </c>
      <c r="Q55" s="1">
        <f t="shared" si="18"/>
        <v>18508</v>
      </c>
      <c r="R55" s="1">
        <f>+SUM(O54:R54)</f>
        <v>19491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2025-05-05T03:25:41Z</dcterms:created>
  <dcterms:modified xsi:type="dcterms:W3CDTF">2025-05-05T08:53:35Z</dcterms:modified>
</cp:coreProperties>
</file>