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13_ncr:1_{EC0E3950-1B98-4C01-9CF9-0FAE04AC1E80}" xr6:coauthVersionLast="47" xr6:coauthVersionMax="47" xr10:uidLastSave="{00000000-0000-0000-0000-000000000000}"/>
  <bookViews>
    <workbookView xWindow="0" yWindow="0" windowWidth="14400" windowHeight="15600" xr2:uid="{F256B5CE-F88A-4C76-A7B7-BD1EB713350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2" l="1"/>
  <c r="Q25" i="2"/>
  <c r="AG25" i="2"/>
  <c r="AG38" i="2"/>
  <c r="AG36" i="2"/>
  <c r="AG43" i="2" s="1"/>
  <c r="AG45" i="2" s="1"/>
  <c r="AG35" i="2"/>
  <c r="AG32" i="2"/>
  <c r="L10" i="1"/>
  <c r="M51" i="2"/>
  <c r="M52" i="2" s="1"/>
  <c r="M53" i="2" s="1"/>
  <c r="M50" i="2"/>
  <c r="Q51" i="2"/>
  <c r="Q50" i="2"/>
  <c r="P52" i="2"/>
  <c r="O52" i="2"/>
  <c r="N52" i="2"/>
  <c r="L52" i="2"/>
  <c r="K52" i="2"/>
  <c r="J52" i="2"/>
  <c r="R52" i="2"/>
  <c r="K51" i="2"/>
  <c r="K50" i="2"/>
  <c r="O51" i="2"/>
  <c r="O50" i="2"/>
  <c r="L51" i="2"/>
  <c r="L50" i="2"/>
  <c r="P51" i="2"/>
  <c r="P50" i="2"/>
  <c r="AF52" i="2"/>
  <c r="AE52" i="2"/>
  <c r="AG52" i="2"/>
  <c r="Q48" i="2"/>
  <c r="R48" i="2"/>
  <c r="Q47" i="2"/>
  <c r="Q7" i="2"/>
  <c r="Q43" i="2"/>
  <c r="Q45" i="2" s="1"/>
  <c r="Q38" i="2"/>
  <c r="Q36" i="2"/>
  <c r="R45" i="2"/>
  <c r="R43" i="2"/>
  <c r="R38" i="2"/>
  <c r="R36" i="2"/>
  <c r="Q35" i="2"/>
  <c r="Q32" i="2"/>
  <c r="R35" i="2"/>
  <c r="R32" i="2"/>
  <c r="M23" i="2"/>
  <c r="M21" i="2"/>
  <c r="M20" i="2"/>
  <c r="M19" i="2"/>
  <c r="M16" i="2"/>
  <c r="M17" i="2"/>
  <c r="M15" i="2"/>
  <c r="M13" i="2"/>
  <c r="M14" i="2"/>
  <c r="M12" i="2"/>
  <c r="M10" i="2"/>
  <c r="M11" i="2" s="1"/>
  <c r="M9" i="2"/>
  <c r="M8" i="2"/>
  <c r="M7" i="2"/>
  <c r="M6" i="2"/>
  <c r="M5" i="2"/>
  <c r="Q23" i="2" s="1"/>
  <c r="M4" i="2"/>
  <c r="M3" i="2"/>
  <c r="Q17" i="2"/>
  <c r="Q14" i="2"/>
  <c r="Q12" i="2"/>
  <c r="Q10" i="2"/>
  <c r="Q11" i="2" s="1"/>
  <c r="Q13" i="2" s="1"/>
  <c r="Q9" i="2"/>
  <c r="Q8" i="2"/>
  <c r="Q6" i="2"/>
  <c r="Q5" i="2"/>
  <c r="Q4" i="2"/>
  <c r="Q3" i="2"/>
  <c r="J10" i="2"/>
  <c r="J5" i="2"/>
  <c r="J23" i="2" s="1"/>
  <c r="K10" i="2"/>
  <c r="K5" i="2"/>
  <c r="K23" i="2" s="1"/>
  <c r="O10" i="2"/>
  <c r="O5" i="2"/>
  <c r="L10" i="2"/>
  <c r="L5" i="2"/>
  <c r="L23" i="2" s="1"/>
  <c r="P10" i="2"/>
  <c r="P5" i="2"/>
  <c r="AE10" i="2"/>
  <c r="AE5" i="2"/>
  <c r="AE23" i="2" s="1"/>
  <c r="AF10" i="2"/>
  <c r="AF5" i="2"/>
  <c r="AG10" i="2"/>
  <c r="AG5" i="2"/>
  <c r="N10" i="2"/>
  <c r="N5" i="2"/>
  <c r="R10" i="2"/>
  <c r="R5" i="2"/>
  <c r="L8" i="1"/>
  <c r="L7" i="1"/>
  <c r="L5" i="1"/>
  <c r="X2" i="2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N53" i="2" l="1"/>
  <c r="O53" i="2"/>
  <c r="P53" i="2"/>
  <c r="Q52" i="2"/>
  <c r="Q53" i="2" s="1"/>
  <c r="Q15" i="2"/>
  <c r="Q21" i="2"/>
  <c r="Q19" i="2"/>
  <c r="J11" i="2"/>
  <c r="N23" i="2"/>
  <c r="K11" i="2"/>
  <c r="K13" i="2" s="1"/>
  <c r="O11" i="2"/>
  <c r="O19" i="2" s="1"/>
  <c r="O23" i="2"/>
  <c r="P23" i="2"/>
  <c r="L11" i="2"/>
  <c r="P11" i="2"/>
  <c r="AE11" i="2"/>
  <c r="AF23" i="2"/>
  <c r="AG23" i="2"/>
  <c r="AF11" i="2"/>
  <c r="AG11" i="2"/>
  <c r="AG19" i="2"/>
  <c r="AG13" i="2"/>
  <c r="N11" i="2"/>
  <c r="R23" i="2"/>
  <c r="R11" i="2"/>
  <c r="R19" i="2" s="1"/>
  <c r="R53" i="2" l="1"/>
  <c r="Q16" i="2"/>
  <c r="R47" i="2"/>
  <c r="Q20" i="2"/>
  <c r="J19" i="2"/>
  <c r="J13" i="2"/>
  <c r="K19" i="2"/>
  <c r="K21" i="2"/>
  <c r="K15" i="2"/>
  <c r="O13" i="2"/>
  <c r="O21" i="2" s="1"/>
  <c r="L19" i="2"/>
  <c r="L13" i="2"/>
  <c r="P13" i="2"/>
  <c r="P19" i="2"/>
  <c r="AE19" i="2"/>
  <c r="AE13" i="2"/>
  <c r="AF19" i="2"/>
  <c r="AF13" i="2"/>
  <c r="AG21" i="2"/>
  <c r="AG15" i="2"/>
  <c r="N13" i="2"/>
  <c r="N19" i="2"/>
  <c r="R13" i="2"/>
  <c r="R21" i="2" s="1"/>
  <c r="J21" i="2" l="1"/>
  <c r="J15" i="2"/>
  <c r="K20" i="2"/>
  <c r="K16" i="2"/>
  <c r="O15" i="2"/>
  <c r="O20" i="2" s="1"/>
  <c r="L15" i="2"/>
  <c r="L21" i="2"/>
  <c r="P21" i="2"/>
  <c r="P15" i="2"/>
  <c r="AE21" i="2"/>
  <c r="AE15" i="2"/>
  <c r="AF15" i="2"/>
  <c r="AF21" i="2"/>
  <c r="AG20" i="2"/>
  <c r="AG16" i="2"/>
  <c r="N21" i="2"/>
  <c r="N15" i="2"/>
  <c r="R15" i="2"/>
  <c r="R16" i="2" s="1"/>
  <c r="J20" i="2" l="1"/>
  <c r="J16" i="2"/>
  <c r="O16" i="2"/>
  <c r="L20" i="2"/>
  <c r="L16" i="2"/>
  <c r="P20" i="2"/>
  <c r="P16" i="2"/>
  <c r="AE20" i="2"/>
  <c r="AE16" i="2"/>
  <c r="AF16" i="2"/>
  <c r="AF20" i="2"/>
  <c r="N20" i="2"/>
  <c r="N16" i="2"/>
  <c r="R20" i="2"/>
</calcChain>
</file>

<file path=xl/sharedStrings.xml><?xml version="1.0" encoding="utf-8"?>
<sst xmlns="http://schemas.openxmlformats.org/spreadsheetml/2006/main" count="72" uniqueCount="66">
  <si>
    <t>Revenue</t>
  </si>
  <si>
    <t>SG&amp;A</t>
  </si>
  <si>
    <t>Operating expense</t>
  </si>
  <si>
    <t>Operating income</t>
  </si>
  <si>
    <t>Interest income</t>
  </si>
  <si>
    <t>Pretax</t>
  </si>
  <si>
    <t>Taxes</t>
  </si>
  <si>
    <t>Net income</t>
  </si>
  <si>
    <t>EPS</t>
  </si>
  <si>
    <t>Shares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</si>
  <si>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</si>
  <si>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</si>
  <si>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</si>
  <si>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</si>
  <si>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</si>
  <si>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</si>
  <si>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</si>
  <si>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</si>
  <si>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</si>
  <si>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</si>
  <si>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</si>
  <si>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</si>
  <si>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</si>
  <si>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</si>
  <si>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</si>
  <si>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</si>
  <si>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</si>
  <si>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</si>
  <si>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</si>
  <si>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</si>
  <si>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</si>
  <si>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</si>
  <si>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</si>
  <si>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</si>
  <si>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</si>
  <si>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Service</t>
  </si>
  <si>
    <t>Equipment</t>
  </si>
  <si>
    <t>COGS service</t>
  </si>
  <si>
    <t>D&amp;A</t>
  </si>
  <si>
    <t>Q125</t>
  </si>
  <si>
    <t>Net cash</t>
  </si>
  <si>
    <t>AR</t>
  </si>
  <si>
    <t>Inventories</t>
  </si>
  <si>
    <t>Prepaid</t>
  </si>
  <si>
    <t>PP&amp;E</t>
  </si>
  <si>
    <t>Investments</t>
  </si>
  <si>
    <t>Goodwill</t>
  </si>
  <si>
    <t>L/ROU</t>
  </si>
  <si>
    <t>Other</t>
  </si>
  <si>
    <t>Assets</t>
  </si>
  <si>
    <t>AP</t>
  </si>
  <si>
    <t>Lease</t>
  </si>
  <si>
    <t>OCL</t>
  </si>
  <si>
    <t>Benefits</t>
  </si>
  <si>
    <t>DT</t>
  </si>
  <si>
    <t>ONCL</t>
  </si>
  <si>
    <t>Liabilties</t>
  </si>
  <si>
    <t>S/E</t>
  </si>
  <si>
    <t>L+S/E</t>
  </si>
  <si>
    <t>NI TTM</t>
  </si>
  <si>
    <t>ROTA</t>
  </si>
  <si>
    <t>COGS equipment</t>
  </si>
  <si>
    <t>CFFO</t>
  </si>
  <si>
    <t>CapEx</t>
  </si>
  <si>
    <t>FCF</t>
  </si>
  <si>
    <t>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</si>
</sst>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\x"/>
    <numFmt numFmtId="167" formatCode="d/mm/yy;@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 applyAlignment="1"/>
    <xf numFmtId="3" fontId="1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9" fontId="0" fillId="0" borderId="0" xfId="0" applyNumberFormat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18</xdr:col>
      <xdr:colOff>0</xdr:colOff>
      <xdr:row>88</xdr:row>
      <xdr:rowOff>66675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974418D3-8929-CC3E-5B0B-684E9C388FAB}"/>
            </a:ext>
          </a:extLst>
        </xdr:cNvPr>
        <xdr:cNvCxnSpPr/>
      </xdr:nvCxnSpPr>
      <xdr:spPr>
        <a:xfrm>
          <a:off x="11477625" y="0"/>
          <a:ext cx="0" cy="14316075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28575</xdr:colOff>
      <xdr:row>0</xdr:row>
      <xdr:rowOff>28575</xdr:rowOff>
    </xdr:from>
    <xdr:to>
      <xdr:col>33</xdr:col>
      <xdr:colOff>28575</xdr:colOff>
      <xdr:row>61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72C048E-D82D-421F-ACB6-BE3D12D2A227}"/>
            </a:ext>
          </a:extLst>
        </xdr:cNvPr>
        <xdr:cNvCxnSpPr/>
      </xdr:nvCxnSpPr>
      <xdr:spPr>
        <a:xfrm>
          <a:off x="20650200" y="28575"/>
          <a:ext cx="0" cy="992505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0E4DF-D020-42E5-B42A-579ADD0F9103}">
  <dimension ref="K3:M10"/>
  <sheetViews>
    <sheetView tabSelected="1" workbookViewId="0">
      <selection activeCell="H18" sqref="H18"/>
    </sheetView>
  </sheetViews>
  <sheetFormatPr defaultRowHeight="12.75" x14ac:dyDescent="0.2"/>
  <sheetData>
    <row r="3" spans="11:13" x14ac:dyDescent="0.2">
      <c r="K3" t="s">
        <v>30</v>
      </c>
      <c r="L3">
        <v>43.84</v>
      </c>
    </row>
    <row r="4" spans="11:13" x14ac:dyDescent="0.2">
      <c r="K4" t="s">
        <v>9</v>
      </c>
      <c r="L4" s="1">
        <v>4216.2549140000001</v>
      </c>
      <c r="M4" s="12" t="s">
        <v>39</v>
      </c>
    </row>
    <row r="5" spans="11:13" x14ac:dyDescent="0.2">
      <c r="K5" t="s">
        <v>31</v>
      </c>
      <c r="L5" s="1">
        <f>+L3*L4</f>
        <v>184840.61542976002</v>
      </c>
    </row>
    <row r="6" spans="11:13" x14ac:dyDescent="0.2">
      <c r="K6" t="s">
        <v>32</v>
      </c>
      <c r="L6" s="1">
        <v>2257</v>
      </c>
      <c r="M6" s="12" t="s">
        <v>39</v>
      </c>
    </row>
    <row r="7" spans="11:13" x14ac:dyDescent="0.2">
      <c r="K7" t="s">
        <v>33</v>
      </c>
      <c r="L7" s="1">
        <f>22629+121020</f>
        <v>143649</v>
      </c>
      <c r="M7" s="12" t="s">
        <v>39</v>
      </c>
    </row>
    <row r="8" spans="11:13" x14ac:dyDescent="0.2">
      <c r="K8" t="s">
        <v>34</v>
      </c>
      <c r="L8" s="1">
        <f>+L5-L6+L7</f>
        <v>326232.61542976002</v>
      </c>
    </row>
    <row r="9" spans="11:13" x14ac:dyDescent="0.2">
      <c r="L9" s="1">
        <v>20751</v>
      </c>
    </row>
    <row r="10" spans="11:13" x14ac:dyDescent="0.2">
      <c r="L10" s="6">
        <f>+L8/L9</f>
        <v>15.721296102826852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9BFF1-8205-4308-A2AF-C14EA26497DF}">
  <dimension ref="A1:AQ53"/>
  <sheetViews>
    <sheetView workbookViewId="0">
      <pane xSplit="1" ySplit="2" topLeftCell="X3" activePane="bottomRight" state="frozen"/>
      <selection pane="topRight" activeCell="B1" sqref="B1"/>
      <selection pane="bottomLeft" activeCell="A3" sqref="A3"/>
      <selection pane="bottomRight" activeCell="T53" sqref="T53"/>
    </sheetView>
  </sheetViews>
  <sheetFormatPr defaultRowHeight="12.75" x14ac:dyDescent="0.2"/>
  <cols>
    <col min="1" max="1" width="16.7109375" style="1" bestFit="1" customWidth="1"/>
    <col min="2" max="16384" width="9.140625" style="1"/>
  </cols>
  <sheetData>
    <row r="1" spans="1:43" s="10" customFormat="1" x14ac:dyDescent="0.2">
      <c r="J1" s="10">
        <v>45016</v>
      </c>
      <c r="K1" s="10">
        <v>45107</v>
      </c>
      <c r="L1" s="10">
        <v>45199</v>
      </c>
      <c r="M1" s="10">
        <v>45291</v>
      </c>
      <c r="N1" s="10">
        <v>45382</v>
      </c>
      <c r="O1" s="10">
        <v>45473</v>
      </c>
      <c r="P1" s="10">
        <v>45565</v>
      </c>
      <c r="Q1" s="10">
        <v>45657</v>
      </c>
      <c r="R1" s="10">
        <v>45747</v>
      </c>
      <c r="AE1" s="10">
        <v>44926</v>
      </c>
      <c r="AF1" s="10">
        <v>45291</v>
      </c>
      <c r="AG1" s="10">
        <v>45657</v>
      </c>
    </row>
    <row r="2" spans="1:43" x14ac:dyDescent="0.2">
      <c r="A2" s="3"/>
      <c r="B2" s="3" t="s">
        <v>14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15</v>
      </c>
      <c r="H2" s="3" t="s">
        <v>16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25</v>
      </c>
      <c r="N2" s="3" t="s">
        <v>26</v>
      </c>
      <c r="O2" s="3" t="s">
        <v>27</v>
      </c>
      <c r="P2" s="3" t="s">
        <v>28</v>
      </c>
      <c r="Q2" s="3" t="s">
        <v>29</v>
      </c>
      <c r="R2" s="3" t="s">
        <v>39</v>
      </c>
      <c r="W2" s="2">
        <v>2014</v>
      </c>
      <c r="X2" s="2">
        <f>+W2+1</f>
        <v>2015</v>
      </c>
      <c r="Y2" s="2">
        <f t="shared" ref="Y2:AR2" si="0">+X2+1</f>
        <v>2016</v>
      </c>
      <c r="Z2" s="2">
        <f t="shared" si="0"/>
        <v>2017</v>
      </c>
      <c r="AA2" s="2">
        <f t="shared" si="0"/>
        <v>2018</v>
      </c>
      <c r="AB2" s="2">
        <f t="shared" si="0"/>
        <v>2019</v>
      </c>
      <c r="AC2" s="2">
        <f t="shared" si="0"/>
        <v>2020</v>
      </c>
      <c r="AD2" s="2">
        <f t="shared" si="0"/>
        <v>2021</v>
      </c>
      <c r="AE2" s="2">
        <f t="shared" si="0"/>
        <v>2022</v>
      </c>
      <c r="AF2" s="2">
        <f t="shared" si="0"/>
        <v>2023</v>
      </c>
      <c r="AG2" s="2">
        <f t="shared" si="0"/>
        <v>2024</v>
      </c>
      <c r="AH2" s="2">
        <f t="shared" si="0"/>
        <v>2025</v>
      </c>
      <c r="AI2" s="2">
        <f t="shared" si="0"/>
        <v>2026</v>
      </c>
      <c r="AJ2" s="2">
        <f t="shared" si="0"/>
        <v>2027</v>
      </c>
      <c r="AK2" s="2">
        <f t="shared" si="0"/>
        <v>2028</v>
      </c>
      <c r="AL2" s="2">
        <f t="shared" si="0"/>
        <v>2029</v>
      </c>
      <c r="AM2" s="2">
        <f t="shared" si="0"/>
        <v>2030</v>
      </c>
      <c r="AN2" s="2">
        <f t="shared" si="0"/>
        <v>2031</v>
      </c>
      <c r="AO2" s="2">
        <f t="shared" si="0"/>
        <v>2032</v>
      </c>
      <c r="AP2" s="2">
        <f t="shared" si="0"/>
        <v>2033</v>
      </c>
      <c r="AQ2" s="2">
        <f t="shared" si="0"/>
        <v>2034</v>
      </c>
    </row>
    <row r="3" spans="1:43" x14ac:dyDescent="0.2">
      <c r="A3" s="7" t="s">
        <v>35</v>
      </c>
      <c r="B3" s="3"/>
      <c r="C3" s="3"/>
      <c r="D3" s="3"/>
      <c r="E3" s="3"/>
      <c r="F3" s="3"/>
      <c r="G3" s="3"/>
      <c r="H3" s="3"/>
      <c r="I3" s="3"/>
      <c r="J3" s="3">
        <v>27152</v>
      </c>
      <c r="K3" s="3">
        <v>27319</v>
      </c>
      <c r="L3" s="3">
        <v>27523</v>
      </c>
      <c r="M3" s="3">
        <f>+AF3-SUM(J3:L3)</f>
        <v>27658</v>
      </c>
      <c r="N3" s="3">
        <v>27620</v>
      </c>
      <c r="O3" s="3">
        <v>27798</v>
      </c>
      <c r="P3" s="3">
        <v>27987</v>
      </c>
      <c r="Q3" s="1">
        <f>+AG3-SUM(N3:P3)</f>
        <v>28166</v>
      </c>
      <c r="R3" s="3">
        <v>28087</v>
      </c>
      <c r="S3" s="3"/>
      <c r="T3" s="3"/>
      <c r="U3" s="3"/>
      <c r="V3" s="3"/>
      <c r="W3" s="2"/>
      <c r="X3" s="2"/>
      <c r="Y3" s="2"/>
      <c r="Z3" s="2"/>
      <c r="AA3" s="2"/>
      <c r="AB3" s="2"/>
      <c r="AC3" s="2"/>
      <c r="AD3" s="2"/>
      <c r="AE3" s="3">
        <v>109625</v>
      </c>
      <c r="AF3" s="3">
        <v>109652</v>
      </c>
      <c r="AG3" s="3">
        <v>111571</v>
      </c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1:43" x14ac:dyDescent="0.2">
      <c r="A4" s="7" t="s">
        <v>36</v>
      </c>
      <c r="B4" s="3"/>
      <c r="C4" s="3"/>
      <c r="D4" s="3"/>
      <c r="E4" s="3"/>
      <c r="F4" s="3"/>
      <c r="G4" s="3"/>
      <c r="H4" s="3"/>
      <c r="I4" s="3"/>
      <c r="J4" s="3">
        <v>5760</v>
      </c>
      <c r="K4" s="3">
        <v>5277</v>
      </c>
      <c r="L4" s="3">
        <v>5813</v>
      </c>
      <c r="M4" s="3">
        <f>+AF4-SUM(J4:L4)</f>
        <v>7472</v>
      </c>
      <c r="N4" s="3">
        <v>5361</v>
      </c>
      <c r="O4" s="3">
        <v>4998</v>
      </c>
      <c r="P4" s="3">
        <v>5343</v>
      </c>
      <c r="Q4" s="1">
        <f>+AG4-SUM(N4:P4)</f>
        <v>7515</v>
      </c>
      <c r="R4" s="3">
        <v>5398</v>
      </c>
      <c r="S4" s="3"/>
      <c r="T4" s="3"/>
      <c r="U4" s="3"/>
      <c r="V4" s="3"/>
      <c r="W4" s="2"/>
      <c r="X4" s="2"/>
      <c r="Y4" s="2"/>
      <c r="Z4" s="2"/>
      <c r="AA4" s="2"/>
      <c r="AB4" s="2"/>
      <c r="AC4" s="2"/>
      <c r="AD4" s="2"/>
      <c r="AE4" s="3">
        <v>27210</v>
      </c>
      <c r="AF4" s="3">
        <v>24322</v>
      </c>
      <c r="AG4" s="3">
        <v>23217</v>
      </c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s="8" customFormat="1" x14ac:dyDescent="0.2">
      <c r="A5" s="8" t="s">
        <v>0</v>
      </c>
      <c r="J5" s="8">
        <f>+J3+J4</f>
        <v>32912</v>
      </c>
      <c r="K5" s="8">
        <f>+K3+K4</f>
        <v>32596</v>
      </c>
      <c r="L5" s="8">
        <f>+L3+L4</f>
        <v>33336</v>
      </c>
      <c r="M5" s="8">
        <f>+M3+M4</f>
        <v>35130</v>
      </c>
      <c r="N5" s="8">
        <f>+N3+N4</f>
        <v>32981</v>
      </c>
      <c r="O5" s="8">
        <f>+O3+O4</f>
        <v>32796</v>
      </c>
      <c r="P5" s="8">
        <f>+P3+P4</f>
        <v>33330</v>
      </c>
      <c r="Q5" s="8">
        <f>+Q3+Q4</f>
        <v>35681</v>
      </c>
      <c r="R5" s="8">
        <f>+R3+R4</f>
        <v>33485</v>
      </c>
      <c r="AE5" s="8">
        <f>+AE3+AE4</f>
        <v>136835</v>
      </c>
      <c r="AF5" s="8">
        <f>+AF3+AF4</f>
        <v>133974</v>
      </c>
      <c r="AG5" s="8">
        <f>+AG3+AG4</f>
        <v>134788</v>
      </c>
    </row>
    <row r="6" spans="1:43" x14ac:dyDescent="0.2">
      <c r="A6" s="1" t="s">
        <v>37</v>
      </c>
      <c r="J6" s="1">
        <v>7078</v>
      </c>
      <c r="K6" s="1">
        <v>6886</v>
      </c>
      <c r="L6" s="1">
        <v>7084</v>
      </c>
      <c r="M6" s="3">
        <f t="shared" ref="M6:M9" si="1">+AF6-SUM(J6:L6)</f>
        <v>7052</v>
      </c>
      <c r="N6" s="1">
        <v>6967</v>
      </c>
      <c r="O6" s="1">
        <v>6904</v>
      </c>
      <c r="P6" s="1">
        <v>7193</v>
      </c>
      <c r="Q6" s="1">
        <f t="shared" ref="Q6:Q9" si="2">+AG6-SUM(N6:P6)</f>
        <v>6933</v>
      </c>
      <c r="R6" s="1">
        <v>6950</v>
      </c>
      <c r="AE6" s="1">
        <v>28637</v>
      </c>
      <c r="AF6" s="1">
        <v>28100</v>
      </c>
      <c r="AG6" s="1">
        <v>27997</v>
      </c>
    </row>
    <row r="7" spans="1:43" x14ac:dyDescent="0.2">
      <c r="A7" s="1" t="s">
        <v>61</v>
      </c>
      <c r="J7" s="1">
        <v>6426</v>
      </c>
      <c r="K7" s="1">
        <v>5778</v>
      </c>
      <c r="L7" s="1">
        <v>6353</v>
      </c>
      <c r="M7" s="3">
        <f t="shared" si="1"/>
        <v>8230</v>
      </c>
      <c r="N7" s="1">
        <v>5905</v>
      </c>
      <c r="O7" s="1">
        <v>5567</v>
      </c>
      <c r="P7" s="1">
        <v>6047</v>
      </c>
      <c r="Q7" s="1">
        <f>+AG7-SUM(N7:P7)</f>
        <v>8581</v>
      </c>
      <c r="R7" s="1">
        <v>6106</v>
      </c>
      <c r="AE7" s="1">
        <v>30496</v>
      </c>
      <c r="AF7" s="1">
        <v>26787</v>
      </c>
      <c r="AG7" s="1">
        <v>26100</v>
      </c>
    </row>
    <row r="8" spans="1:43" x14ac:dyDescent="0.2">
      <c r="A8" s="1" t="s">
        <v>1</v>
      </c>
      <c r="J8" s="1">
        <v>7506</v>
      </c>
      <c r="K8" s="1">
        <v>8253</v>
      </c>
      <c r="L8" s="1">
        <v>7995</v>
      </c>
      <c r="M8" s="3">
        <f t="shared" si="1"/>
        <v>8991</v>
      </c>
      <c r="N8" s="1">
        <v>8143</v>
      </c>
      <c r="O8" s="1">
        <v>8024</v>
      </c>
      <c r="P8" s="1">
        <v>9706</v>
      </c>
      <c r="Q8" s="1">
        <f t="shared" si="2"/>
        <v>8240</v>
      </c>
      <c r="R8" s="1">
        <v>7874</v>
      </c>
      <c r="AE8" s="1">
        <v>30136</v>
      </c>
      <c r="AF8" s="1">
        <v>32745</v>
      </c>
      <c r="AG8" s="1">
        <v>34113</v>
      </c>
    </row>
    <row r="9" spans="1:43" x14ac:dyDescent="0.2">
      <c r="A9" s="1" t="s">
        <v>38</v>
      </c>
      <c r="J9" s="1">
        <v>4318</v>
      </c>
      <c r="K9" s="1">
        <v>4359</v>
      </c>
      <c r="L9" s="1">
        <v>4431</v>
      </c>
      <c r="M9" s="3">
        <f t="shared" si="1"/>
        <v>4516</v>
      </c>
      <c r="N9" s="1">
        <v>4445</v>
      </c>
      <c r="O9" s="1">
        <v>4483</v>
      </c>
      <c r="P9" s="1">
        <v>4458</v>
      </c>
      <c r="Q9" s="1">
        <f t="shared" si="2"/>
        <v>4506</v>
      </c>
      <c r="R9" s="1">
        <v>4577</v>
      </c>
      <c r="AE9" s="1">
        <v>17099</v>
      </c>
      <c r="AF9" s="1">
        <v>17624</v>
      </c>
      <c r="AG9" s="1">
        <v>17892</v>
      </c>
    </row>
    <row r="10" spans="1:43" x14ac:dyDescent="0.2">
      <c r="A10" s="1" t="s">
        <v>2</v>
      </c>
      <c r="J10" s="1">
        <f>+SUM(J6:J9)</f>
        <v>25328</v>
      </c>
      <c r="K10" s="1">
        <f>+SUM(K6:K9)</f>
        <v>25276</v>
      </c>
      <c r="L10" s="1">
        <f>+SUM(L6:L9)</f>
        <v>25863</v>
      </c>
      <c r="M10" s="1">
        <f>+SUM(M6:M9)</f>
        <v>28789</v>
      </c>
      <c r="N10" s="1">
        <f>+SUM(N6:N9)</f>
        <v>25460</v>
      </c>
      <c r="O10" s="1">
        <f>+SUM(O6:O9)</f>
        <v>24978</v>
      </c>
      <c r="P10" s="1">
        <f>+SUM(P6:P9)</f>
        <v>27404</v>
      </c>
      <c r="Q10" s="1">
        <f>+SUM(Q6:Q9)</f>
        <v>28260</v>
      </c>
      <c r="R10" s="1">
        <f>+SUM(R6:R9)</f>
        <v>25507</v>
      </c>
      <c r="AE10" s="1">
        <f>+SUM(AE6:AE9)</f>
        <v>106368</v>
      </c>
      <c r="AF10" s="1">
        <f>+SUM(AF6:AF9)</f>
        <v>105256</v>
      </c>
      <c r="AG10" s="1">
        <f>+SUM(AG6:AG9)</f>
        <v>106102</v>
      </c>
    </row>
    <row r="11" spans="1:43" s="8" customFormat="1" x14ac:dyDescent="0.2">
      <c r="A11" s="8" t="s">
        <v>3</v>
      </c>
      <c r="J11" s="8">
        <f>+J5-J10</f>
        <v>7584</v>
      </c>
      <c r="K11" s="8">
        <f>+K5-K10</f>
        <v>7320</v>
      </c>
      <c r="L11" s="8">
        <f>+L5-L10</f>
        <v>7473</v>
      </c>
      <c r="M11" s="8">
        <f>+M5-M10</f>
        <v>6341</v>
      </c>
      <c r="N11" s="8">
        <f>+N5-N10</f>
        <v>7521</v>
      </c>
      <c r="O11" s="8">
        <f>+O5-O10</f>
        <v>7818</v>
      </c>
      <c r="P11" s="8">
        <f>+P5-P10</f>
        <v>5926</v>
      </c>
      <c r="Q11" s="8">
        <f>+Q5-Q10</f>
        <v>7421</v>
      </c>
      <c r="R11" s="8">
        <f>+R5-R10</f>
        <v>7978</v>
      </c>
      <c r="AE11" s="8">
        <f>+AE5-AE10</f>
        <v>30467</v>
      </c>
      <c r="AF11" s="8">
        <f>+AF5-AF10</f>
        <v>28718</v>
      </c>
      <c r="AG11" s="8">
        <f>+AG5-AG10</f>
        <v>28686</v>
      </c>
    </row>
    <row r="12" spans="1:43" x14ac:dyDescent="0.2">
      <c r="A12" s="1" t="s">
        <v>4</v>
      </c>
      <c r="J12" s="1">
        <v>-1207</v>
      </c>
      <c r="K12" s="1">
        <v>-1285</v>
      </c>
      <c r="L12" s="1">
        <v>-1433</v>
      </c>
      <c r="M12" s="3">
        <f t="shared" ref="M12" si="3">+AF12-SUM(J12:L12)</f>
        <v>-1599</v>
      </c>
      <c r="N12" s="1">
        <v>-1635</v>
      </c>
      <c r="O12" s="1">
        <v>-1698</v>
      </c>
      <c r="P12" s="1">
        <v>-1672</v>
      </c>
      <c r="Q12" s="1">
        <f t="shared" ref="Q12" si="4">+AG12-SUM(N12:P12)</f>
        <v>-1644</v>
      </c>
      <c r="R12" s="1">
        <v>-1632</v>
      </c>
      <c r="AE12" s="1">
        <v>-3613</v>
      </c>
      <c r="AF12" s="1">
        <v>-5524</v>
      </c>
      <c r="AG12" s="1">
        <v>-6649</v>
      </c>
    </row>
    <row r="13" spans="1:43" x14ac:dyDescent="0.2">
      <c r="A13" s="1" t="s">
        <v>5</v>
      </c>
      <c r="J13" s="1">
        <f>+J11+J12</f>
        <v>6377</v>
      </c>
      <c r="K13" s="1">
        <f>+K11+K12</f>
        <v>6035</v>
      </c>
      <c r="L13" s="1">
        <f>+L11+L12</f>
        <v>6040</v>
      </c>
      <c r="M13" s="1">
        <f>+M11+M12</f>
        <v>4742</v>
      </c>
      <c r="N13" s="1">
        <f>+N11+N12</f>
        <v>5886</v>
      </c>
      <c r="O13" s="1">
        <f>+O11+O12</f>
        <v>6120</v>
      </c>
      <c r="P13" s="1">
        <f>+P11+P12</f>
        <v>4254</v>
      </c>
      <c r="Q13" s="1">
        <f>+Q11+Q12</f>
        <v>5777</v>
      </c>
      <c r="R13" s="1">
        <f>+R11+R12</f>
        <v>6346</v>
      </c>
      <c r="AE13" s="1">
        <f>+AE11+AE12</f>
        <v>26854</v>
      </c>
      <c r="AF13" s="1">
        <f>+AF11+AF12</f>
        <v>23194</v>
      </c>
      <c r="AG13" s="1">
        <f>+AG11+AG12</f>
        <v>22037</v>
      </c>
    </row>
    <row r="14" spans="1:43" x14ac:dyDescent="0.2">
      <c r="A14" s="1" t="s">
        <v>6</v>
      </c>
      <c r="J14" s="1">
        <v>1482</v>
      </c>
      <c r="K14" s="1">
        <v>1346</v>
      </c>
      <c r="L14" s="1">
        <v>1308</v>
      </c>
      <c r="M14" s="3">
        <f t="shared" ref="M14" si="5">+AF14-SUM(J14:L14)</f>
        <v>756</v>
      </c>
      <c r="N14" s="1">
        <v>1353</v>
      </c>
      <c r="O14" s="1">
        <v>1332</v>
      </c>
      <c r="P14" s="1">
        <v>891</v>
      </c>
      <c r="Q14" s="1">
        <f t="shared" ref="Q14" si="6">+AG14-SUM(N14:P14)</f>
        <v>1454</v>
      </c>
      <c r="R14" s="1">
        <v>1490</v>
      </c>
      <c r="AE14" s="1">
        <v>6523</v>
      </c>
      <c r="AF14" s="1">
        <v>4892</v>
      </c>
      <c r="AG14" s="1">
        <v>5030</v>
      </c>
    </row>
    <row r="15" spans="1:43" s="8" customFormat="1" x14ac:dyDescent="0.2">
      <c r="A15" s="8" t="s">
        <v>7</v>
      </c>
      <c r="J15" s="8">
        <f>+J13-J14</f>
        <v>4895</v>
      </c>
      <c r="K15" s="8">
        <f>+K13-K14</f>
        <v>4689</v>
      </c>
      <c r="L15" s="8">
        <f>+L13-L14</f>
        <v>4732</v>
      </c>
      <c r="M15" s="8">
        <f>+M13-M14</f>
        <v>3986</v>
      </c>
      <c r="N15" s="8">
        <f>+N13-N14</f>
        <v>4533</v>
      </c>
      <c r="O15" s="8">
        <f>+O13-O14</f>
        <v>4788</v>
      </c>
      <c r="P15" s="8">
        <f>+P13-P14</f>
        <v>3363</v>
      </c>
      <c r="Q15" s="8">
        <f>+Q13-Q14</f>
        <v>4323</v>
      </c>
      <c r="R15" s="8">
        <f>+R13-R14</f>
        <v>4856</v>
      </c>
      <c r="AE15" s="8">
        <f>+AE13-AE14</f>
        <v>20331</v>
      </c>
      <c r="AF15" s="8">
        <f>+AF13-AF14</f>
        <v>18302</v>
      </c>
      <c r="AG15" s="8">
        <f>+AG13-AG14</f>
        <v>17007</v>
      </c>
    </row>
    <row r="16" spans="1:43" s="5" customFormat="1" x14ac:dyDescent="0.2">
      <c r="A16" s="5" t="s">
        <v>8</v>
      </c>
      <c r="J16" s="5">
        <f>+J15/J17</f>
        <v>1.1624317264307766</v>
      </c>
      <c r="K16" s="5">
        <f>+K15/K17</f>
        <v>1.1129836221220033</v>
      </c>
      <c r="L16" s="5">
        <f>+L15/L17</f>
        <v>1.1223908918406071</v>
      </c>
      <c r="M16" s="5">
        <f>+M15/M17</f>
        <v>0.94454976303317539</v>
      </c>
      <c r="N16" s="5">
        <f>+N15/N17</f>
        <v>1.0744252192462669</v>
      </c>
      <c r="O16" s="5">
        <f>+O15/O17</f>
        <v>1.1343283582089552</v>
      </c>
      <c r="P16" s="5">
        <f>+P15/P17</f>
        <v>0.7959763313609467</v>
      </c>
      <c r="Q16" s="5">
        <f>+Q15/Q17</f>
        <v>1.0227111426543647</v>
      </c>
      <c r="R16" s="5">
        <f>+R15/R17</f>
        <v>1.1490771415049692</v>
      </c>
      <c r="AE16" s="5">
        <f>+AE15/AE17</f>
        <v>4.8361084681255946</v>
      </c>
      <c r="AF16" s="5">
        <f>+AF15/AF17</f>
        <v>4.3421115065243177</v>
      </c>
      <c r="AG16" s="5">
        <f>+AG15/AG17</f>
        <v>4.0272318257163153</v>
      </c>
    </row>
    <row r="17" spans="1:33" x14ac:dyDescent="0.2">
      <c r="A17" s="1" t="s">
        <v>9</v>
      </c>
      <c r="J17" s="1">
        <v>4211</v>
      </c>
      <c r="K17" s="1">
        <v>4213</v>
      </c>
      <c r="L17" s="1">
        <v>4216</v>
      </c>
      <c r="M17" s="1">
        <f>+AF17*4-SUM(J17:L17)</f>
        <v>4220</v>
      </c>
      <c r="N17" s="1">
        <v>4219</v>
      </c>
      <c r="O17" s="1">
        <v>4221</v>
      </c>
      <c r="P17" s="1">
        <v>4225</v>
      </c>
      <c r="Q17" s="1">
        <f>+AG17*4-SUM(N17:P17)</f>
        <v>4227</v>
      </c>
      <c r="R17" s="1">
        <v>4226</v>
      </c>
      <c r="AE17" s="1">
        <v>4204</v>
      </c>
      <c r="AF17" s="1">
        <v>4215</v>
      </c>
      <c r="AG17" s="1">
        <v>4223</v>
      </c>
    </row>
    <row r="19" spans="1:33" s="4" customFormat="1" x14ac:dyDescent="0.2">
      <c r="A19" s="4" t="s">
        <v>10</v>
      </c>
      <c r="J19" s="4">
        <f>+J11/J5</f>
        <v>0.23043266893534273</v>
      </c>
      <c r="K19" s="4">
        <f>+K11/K5</f>
        <v>0.22456743158669776</v>
      </c>
      <c r="L19" s="4">
        <f>+L11/L5</f>
        <v>0.22417206623470123</v>
      </c>
      <c r="M19" s="4">
        <f>+M11/M5</f>
        <v>0.18050099629945915</v>
      </c>
      <c r="N19" s="4">
        <f>+N11/N5</f>
        <v>0.22804038688942119</v>
      </c>
      <c r="O19" s="4">
        <f>+O11/O5</f>
        <v>0.23838272960117088</v>
      </c>
      <c r="P19" s="4">
        <f>+P11/P5</f>
        <v>0.17779777977797781</v>
      </c>
      <c r="Q19" s="4">
        <f>+Q11/Q5</f>
        <v>0.20798183907401699</v>
      </c>
      <c r="R19" s="4">
        <f>+R11/R5</f>
        <v>0.23825593549350454</v>
      </c>
      <c r="AE19" s="4">
        <f>+AE11/AE5</f>
        <v>0.22265502247232069</v>
      </c>
      <c r="AF19" s="4">
        <f>+AF11/AF5</f>
        <v>0.2143550241091555</v>
      </c>
      <c r="AG19" s="4">
        <f>+AG11/AG5</f>
        <v>0.21282309997922663</v>
      </c>
    </row>
    <row r="20" spans="1:33" s="4" customFormat="1" x14ac:dyDescent="0.2">
      <c r="A20" s="4" t="s">
        <v>11</v>
      </c>
      <c r="J20" s="4">
        <f>+J15/J5</f>
        <v>0.14872994652406418</v>
      </c>
      <c r="K20" s="4">
        <f>+K15/K5</f>
        <v>0.14385200638115106</v>
      </c>
      <c r="L20" s="4">
        <f>+L15/L5</f>
        <v>0.14194864410847133</v>
      </c>
      <c r="M20" s="4">
        <f>+M15/M5</f>
        <v>0.1134642755479647</v>
      </c>
      <c r="N20" s="4">
        <f>+N15/N5</f>
        <v>0.13744277007974287</v>
      </c>
      <c r="O20" s="4">
        <f>+O15/O5</f>
        <v>0.14599341383095499</v>
      </c>
      <c r="P20" s="4">
        <f>+P15/P5</f>
        <v>0.1009000900090009</v>
      </c>
      <c r="Q20" s="4">
        <f>+Q15/Q5</f>
        <v>0.12115691824780696</v>
      </c>
      <c r="R20" s="4">
        <f>+R15/R5</f>
        <v>0.14502015827982678</v>
      </c>
      <c r="AE20" s="4">
        <f>+AE15/AE5</f>
        <v>0.14858040705959732</v>
      </c>
      <c r="AF20" s="4">
        <f>+AF15/AF5</f>
        <v>0.13660859569767267</v>
      </c>
      <c r="AG20" s="4">
        <f>+AG15/AG5</f>
        <v>0.12617592070510728</v>
      </c>
    </row>
    <row r="21" spans="1:33" s="4" customFormat="1" x14ac:dyDescent="0.2">
      <c r="A21" s="4" t="s">
        <v>12</v>
      </c>
      <c r="J21" s="4">
        <f>+J14/J13</f>
        <v>0.23239767915947937</v>
      </c>
      <c r="K21" s="4">
        <f>+K14/K13</f>
        <v>0.22303231151615577</v>
      </c>
      <c r="L21" s="4">
        <f>+L14/L13</f>
        <v>0.21655629139072849</v>
      </c>
      <c r="M21" s="4">
        <f>+M14/M13</f>
        <v>0.15942640236187264</v>
      </c>
      <c r="N21" s="4">
        <f>+N14/N13</f>
        <v>0.22986748216106015</v>
      </c>
      <c r="O21" s="4">
        <f>+O14/O13</f>
        <v>0.21764705882352942</v>
      </c>
      <c r="P21" s="4">
        <f>+P14/P13</f>
        <v>0.20944992947813823</v>
      </c>
      <c r="Q21" s="4">
        <f>+Q14/Q13</f>
        <v>0.25168772719404536</v>
      </c>
      <c r="R21" s="4">
        <f>+R14/R13</f>
        <v>0.23479357075323037</v>
      </c>
      <c r="AE21" s="4">
        <f>+AE14/AE13</f>
        <v>0.24290608475459893</v>
      </c>
      <c r="AF21" s="4">
        <f>+AF14/AF13</f>
        <v>0.21091661636630163</v>
      </c>
      <c r="AG21" s="4">
        <f>+AG14/AG13</f>
        <v>0.22825248445795707</v>
      </c>
    </row>
    <row r="22" spans="1:33" s="4" customFormat="1" x14ac:dyDescent="0.2"/>
    <row r="23" spans="1:33" s="9" customFormat="1" x14ac:dyDescent="0.2">
      <c r="A23" s="9" t="s">
        <v>13</v>
      </c>
      <c r="J23" s="9" t="e">
        <f>+J5/F5-1</f>
        <v>#DIV/0!</v>
      </c>
      <c r="K23" s="9" t="e">
        <f>+K5/G5-1</f>
        <v>#DIV/0!</v>
      </c>
      <c r="L23" s="9" t="e">
        <f>+L5/H5-1</f>
        <v>#DIV/0!</v>
      </c>
      <c r="M23" s="9" t="e">
        <f>+M5/I5-1</f>
        <v>#DIV/0!</v>
      </c>
      <c r="N23" s="9">
        <f>+N5/J5-1</f>
        <v>2.0964997569274946E-3</v>
      </c>
      <c r="O23" s="9">
        <f>+O5/K5-1</f>
        <v>6.1357221744999801E-3</v>
      </c>
      <c r="P23" s="9">
        <f>+P5/L5-1</f>
        <v>-1.7998560115195517E-4</v>
      </c>
      <c r="Q23" s="9">
        <f>+Q5/M5-1</f>
        <v>1.5684600056931508E-2</v>
      </c>
      <c r="R23" s="9">
        <f>+R5/N5-1</f>
        <v>1.5281525726933642E-2</v>
      </c>
      <c r="AE23" s="9" t="e">
        <f>+AE5/AD5-1</f>
        <v>#DIV/0!</v>
      </c>
      <c r="AF23" s="9">
        <f>+AF5/AE5-1</f>
        <v>-2.090839332042238E-2</v>
      </c>
      <c r="AG23" s="9">
        <f>+AG5/AF5-1</f>
        <v>6.0758057533552012E-3</v>
      </c>
    </row>
    <row r="25" spans="1:33" x14ac:dyDescent="0.2">
      <c r="A25" s="1" t="s">
        <v>40</v>
      </c>
      <c r="Q25" s="1">
        <f t="shared" ref="Q25:R25" si="7">+Q26-Q36</f>
        <v>-139820</v>
      </c>
      <c r="R25" s="1">
        <f t="shared" si="7"/>
        <v>-141392</v>
      </c>
      <c r="AG25" s="1">
        <f>+AG26-AG36</f>
        <v>-139820</v>
      </c>
    </row>
    <row r="26" spans="1:33" x14ac:dyDescent="0.2">
      <c r="A26" s="1" t="s">
        <v>32</v>
      </c>
      <c r="Q26" s="1">
        <v>4194</v>
      </c>
      <c r="R26" s="1">
        <v>2257</v>
      </c>
      <c r="AG26" s="1">
        <v>4194</v>
      </c>
    </row>
    <row r="27" spans="1:33" x14ac:dyDescent="0.2">
      <c r="A27" s="1" t="s">
        <v>41</v>
      </c>
      <c r="Q27" s="1">
        <v>26109</v>
      </c>
      <c r="R27" s="1">
        <v>25889</v>
      </c>
      <c r="AG27" s="1">
        <v>26109</v>
      </c>
    </row>
    <row r="28" spans="1:33" x14ac:dyDescent="0.2">
      <c r="A28" s="1" t="s">
        <v>42</v>
      </c>
      <c r="Q28" s="1">
        <v>2247</v>
      </c>
      <c r="R28" s="1">
        <v>2197</v>
      </c>
      <c r="AG28" s="1">
        <v>2247</v>
      </c>
    </row>
    <row r="29" spans="1:33" x14ac:dyDescent="0.2">
      <c r="A29" s="1" t="s">
        <v>43</v>
      </c>
      <c r="Q29" s="1">
        <v>7973</v>
      </c>
      <c r="R29" s="1">
        <v>7010</v>
      </c>
      <c r="AG29" s="1">
        <v>7973</v>
      </c>
    </row>
    <row r="30" spans="1:33" x14ac:dyDescent="0.2">
      <c r="A30" s="1" t="s">
        <v>44</v>
      </c>
      <c r="Q30" s="1">
        <v>108522</v>
      </c>
      <c r="R30" s="1">
        <v>107923</v>
      </c>
      <c r="AG30" s="1">
        <v>108522</v>
      </c>
    </row>
    <row r="31" spans="1:33" x14ac:dyDescent="0.2">
      <c r="A31" s="1" t="s">
        <v>45</v>
      </c>
      <c r="Q31" s="1">
        <v>842</v>
      </c>
      <c r="R31" s="1">
        <v>820</v>
      </c>
      <c r="AG31" s="1">
        <v>842</v>
      </c>
    </row>
    <row r="32" spans="1:33" x14ac:dyDescent="0.2">
      <c r="A32" s="1" t="s">
        <v>46</v>
      </c>
      <c r="Q32" s="1">
        <f>156613+22841+11129</f>
        <v>190583</v>
      </c>
      <c r="R32" s="1">
        <f>156726+22842+10847</f>
        <v>190415</v>
      </c>
      <c r="AG32" s="1">
        <f>156613+22841+11129</f>
        <v>190583</v>
      </c>
    </row>
    <row r="33" spans="1:33" x14ac:dyDescent="0.2">
      <c r="A33" s="1" t="s">
        <v>47</v>
      </c>
      <c r="Q33" s="1">
        <v>24472</v>
      </c>
      <c r="R33" s="1">
        <v>24175</v>
      </c>
      <c r="AG33" s="1">
        <v>24472</v>
      </c>
    </row>
    <row r="34" spans="1:33" x14ac:dyDescent="0.2">
      <c r="A34" s="1" t="s">
        <v>48</v>
      </c>
      <c r="Q34" s="1">
        <v>19769</v>
      </c>
      <c r="R34" s="1">
        <v>19678</v>
      </c>
      <c r="AG34" s="1">
        <v>19769</v>
      </c>
    </row>
    <row r="35" spans="1:33" s="8" customFormat="1" x14ac:dyDescent="0.2">
      <c r="A35" s="8" t="s">
        <v>49</v>
      </c>
      <c r="Q35" s="8">
        <f>+SUM(Q26:Q34)</f>
        <v>384711</v>
      </c>
      <c r="R35" s="8">
        <f>+SUM(R26:R34)</f>
        <v>380364</v>
      </c>
      <c r="AG35" s="8">
        <f>+SUM(AG26:AG34)</f>
        <v>384711</v>
      </c>
    </row>
    <row r="36" spans="1:33" x14ac:dyDescent="0.2">
      <c r="A36" s="1" t="s">
        <v>33</v>
      </c>
      <c r="Q36" s="1">
        <f>22633+121381</f>
        <v>144014</v>
      </c>
      <c r="R36" s="1">
        <f>22629+121020</f>
        <v>143649</v>
      </c>
      <c r="AG36" s="1">
        <f>22633+121381</f>
        <v>144014</v>
      </c>
    </row>
    <row r="37" spans="1:33" x14ac:dyDescent="0.2">
      <c r="A37" s="1" t="s">
        <v>50</v>
      </c>
      <c r="Q37" s="1">
        <v>23374</v>
      </c>
      <c r="R37" s="1">
        <v>19413</v>
      </c>
      <c r="AG37" s="1">
        <v>23374</v>
      </c>
    </row>
    <row r="38" spans="1:33" x14ac:dyDescent="0.2">
      <c r="A38" s="1" t="s">
        <v>51</v>
      </c>
      <c r="Q38" s="1">
        <f>4415+19928</f>
        <v>24343</v>
      </c>
      <c r="R38" s="1">
        <f>4686+19379</f>
        <v>24065</v>
      </c>
      <c r="AG38" s="1">
        <f>4415+19928</f>
        <v>24343</v>
      </c>
    </row>
    <row r="39" spans="1:33" x14ac:dyDescent="0.2">
      <c r="A39" s="1" t="s">
        <v>52</v>
      </c>
      <c r="Q39" s="1">
        <v>14349</v>
      </c>
      <c r="R39" s="1">
        <v>14338</v>
      </c>
      <c r="AG39" s="1">
        <v>14349</v>
      </c>
    </row>
    <row r="40" spans="1:33" x14ac:dyDescent="0.2">
      <c r="A40" s="1" t="s">
        <v>53</v>
      </c>
      <c r="Q40" s="1">
        <v>11997</v>
      </c>
      <c r="R40" s="1">
        <v>11793</v>
      </c>
      <c r="AG40" s="1">
        <v>11997</v>
      </c>
    </row>
    <row r="41" spans="1:33" x14ac:dyDescent="0.2">
      <c r="A41" s="1" t="s">
        <v>54</v>
      </c>
      <c r="Q41" s="1">
        <v>46732</v>
      </c>
      <c r="R41" s="1">
        <v>46643</v>
      </c>
      <c r="AG41" s="1">
        <v>46732</v>
      </c>
    </row>
    <row r="42" spans="1:33" x14ac:dyDescent="0.2">
      <c r="A42" s="1" t="s">
        <v>55</v>
      </c>
      <c r="Q42" s="1">
        <v>19327</v>
      </c>
      <c r="R42" s="1">
        <v>18426</v>
      </c>
      <c r="AG42" s="1">
        <v>19327</v>
      </c>
    </row>
    <row r="43" spans="1:33" s="8" customFormat="1" x14ac:dyDescent="0.2">
      <c r="A43" s="8" t="s">
        <v>56</v>
      </c>
      <c r="Q43" s="8">
        <f>+SUM(Q36:Q42)</f>
        <v>284136</v>
      </c>
      <c r="R43" s="8">
        <f>+SUM(R36:R42)</f>
        <v>278327</v>
      </c>
      <c r="AG43" s="8">
        <f>+SUM(AG36:AG42)</f>
        <v>284136</v>
      </c>
    </row>
    <row r="44" spans="1:33" x14ac:dyDescent="0.2">
      <c r="A44" s="1" t="s">
        <v>57</v>
      </c>
      <c r="Q44" s="1">
        <v>100575</v>
      </c>
      <c r="R44" s="1">
        <v>102037</v>
      </c>
      <c r="AG44" s="1">
        <v>100575</v>
      </c>
    </row>
    <row r="45" spans="1:33" x14ac:dyDescent="0.2">
      <c r="A45" s="1" t="s">
        <v>58</v>
      </c>
      <c r="Q45" s="1">
        <f>+Q43+Q44</f>
        <v>384711</v>
      </c>
      <c r="R45" s="1">
        <f>+R43+R44</f>
        <v>380364</v>
      </c>
      <c r="AG45" s="1">
        <f>+AG43+AG44</f>
        <v>384711</v>
      </c>
    </row>
    <row r="47" spans="1:33" x14ac:dyDescent="0.2">
      <c r="A47" s="1" t="s">
        <v>59</v>
      </c>
      <c r="Q47" s="1">
        <f>+SUM(N15:Q15)</f>
        <v>17007</v>
      </c>
      <c r="R47" s="1">
        <f>+SUM(O15:R15)</f>
        <v>17330</v>
      </c>
    </row>
    <row r="48" spans="1:33" s="11" customFormat="1" x14ac:dyDescent="0.2">
      <c r="A48" s="11" t="s">
        <v>60</v>
      </c>
      <c r="Q48" s="11">
        <f>+Q47/(Q27+Q28+Q29+Q30+Q33+Q34)</f>
        <v>8.9940346498000978E-2</v>
      </c>
      <c r="R48" s="11">
        <f>+R47/(R27+R28+R29+R30+R33+R34)</f>
        <v>9.2737274712102399E-2</v>
      </c>
    </row>
    <row r="50" spans="1:33" x14ac:dyDescent="0.2">
      <c r="A50" s="1" t="s">
        <v>62</v>
      </c>
      <c r="J50" s="1">
        <v>8289</v>
      </c>
      <c r="K50" s="1">
        <f>18020-J50</f>
        <v>9731</v>
      </c>
      <c r="L50" s="1">
        <f>28798-SUM(J50:K50)</f>
        <v>10778</v>
      </c>
      <c r="M50" s="1">
        <f>+AF50-SUM(J50:L50)</f>
        <v>8677</v>
      </c>
      <c r="N50" s="1">
        <v>7084</v>
      </c>
      <c r="O50" s="1">
        <f>16569-N50</f>
        <v>9485</v>
      </c>
      <c r="P50" s="1">
        <f>26480-SUM(N50:O50)</f>
        <v>9911</v>
      </c>
      <c r="Q50" s="1">
        <f>+AG50-SUM(N50:P50)</f>
        <v>10432</v>
      </c>
      <c r="R50" s="1">
        <v>7782</v>
      </c>
      <c r="AE50" s="1">
        <v>37141</v>
      </c>
      <c r="AF50" s="1">
        <v>37475</v>
      </c>
      <c r="AG50" s="1">
        <v>36912</v>
      </c>
    </row>
    <row r="51" spans="1:33" x14ac:dyDescent="0.2">
      <c r="A51" s="1" t="s">
        <v>63</v>
      </c>
      <c r="J51" s="1">
        <v>-5958</v>
      </c>
      <c r="K51" s="1">
        <f>-10070-J51</f>
        <v>-4112</v>
      </c>
      <c r="L51" s="1">
        <f>-14164-SUM(J51:K51)</f>
        <v>-4094</v>
      </c>
      <c r="M51" s="1">
        <f>+AF51-SUM(J51:L51)</f>
        <v>-4603</v>
      </c>
      <c r="N51" s="1">
        <v>-4376</v>
      </c>
      <c r="O51" s="1">
        <f>-8071-N51</f>
        <v>-3695</v>
      </c>
      <c r="P51" s="1">
        <f>-12019-SUM(N51:O51)</f>
        <v>-3948</v>
      </c>
      <c r="Q51" s="1">
        <f>+AG51-SUM(N51:P51)</f>
        <v>-5071</v>
      </c>
      <c r="R51" s="1">
        <v>-4145</v>
      </c>
      <c r="AE51" s="1">
        <v>-23087</v>
      </c>
      <c r="AF51" s="1">
        <v>-18767</v>
      </c>
      <c r="AG51" s="1">
        <v>-17090</v>
      </c>
    </row>
    <row r="52" spans="1:33" x14ac:dyDescent="0.2">
      <c r="A52" s="1" t="s">
        <v>64</v>
      </c>
      <c r="J52" s="1">
        <f t="shared" ref="J52:Q52" si="8">+J50+J51</f>
        <v>2331</v>
      </c>
      <c r="K52" s="1">
        <f t="shared" si="8"/>
        <v>5619</v>
      </c>
      <c r="L52" s="1">
        <f t="shared" si="8"/>
        <v>6684</v>
      </c>
      <c r="M52" s="1">
        <f t="shared" si="8"/>
        <v>4074</v>
      </c>
      <c r="N52" s="1">
        <f t="shared" si="8"/>
        <v>2708</v>
      </c>
      <c r="O52" s="1">
        <f t="shared" si="8"/>
        <v>5790</v>
      </c>
      <c r="P52" s="1">
        <f t="shared" si="8"/>
        <v>5963</v>
      </c>
      <c r="Q52" s="1">
        <f t="shared" si="8"/>
        <v>5361</v>
      </c>
      <c r="R52" s="1">
        <f>+R50+R51</f>
        <v>3637</v>
      </c>
      <c r="AE52" s="1">
        <f t="shared" ref="AE52:AF52" si="9">+AE50+AE51</f>
        <v>14054</v>
      </c>
      <c r="AF52" s="1">
        <f t="shared" si="9"/>
        <v>18708</v>
      </c>
      <c r="AG52" s="1">
        <f>+AG50+AG51</f>
        <v>19822</v>
      </c>
    </row>
    <row r="53" spans="1:33" x14ac:dyDescent="0.2">
      <c r="A53" s="1" t="s">
        <v>65</v>
      </c>
      <c r="M53" s="1">
        <f t="shared" ref="M53:Q53" si="10">+SUM(J52:M52)</f>
        <v>18708</v>
      </c>
      <c r="N53" s="1">
        <f t="shared" si="10"/>
        <v>19085</v>
      </c>
      <c r="O53" s="1">
        <f t="shared" si="10"/>
        <v>19256</v>
      </c>
      <c r="P53" s="1">
        <f t="shared" si="10"/>
        <v>18535</v>
      </c>
      <c r="Q53" s="1">
        <f t="shared" si="10"/>
        <v>19822</v>
      </c>
      <c r="R53" s="1">
        <f>+SUM(O52:R52)</f>
        <v>20751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2025-05-05T10:00:26Z</dcterms:created>
  <dcterms:modified xsi:type="dcterms:W3CDTF">2025-05-05T10:36:45Z</dcterms:modified>
</cp:coreProperties>
</file>