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<sst xmlns="http://schemas.openxmlformats.org/spreadsheetml/2006/main" count="1025" uniqueCount="603">
  <si>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</si>
  <si>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</si>
  <si>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</si>
  <si>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</si>
  <si>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</si>
  <si>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</si>
  <si>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</si>
  <si>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</si>
  <si>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</si>
  <si>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</si>
  <si>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</si>
  <si>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</si>
  <si>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</si>
  <si>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</si>
  <si>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</si>
  <si>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</si>
  <si>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</si>
  <si>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</si>
  <si>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</si>
  <si>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</si>
  <si>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</si>
  <si>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</si>
  <si>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</si>
  <si>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</si>
  <si>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</si>
  <si>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</si>
  <si>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</si>
  <si>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</si>
  <si>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</si>
  <si>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</si>
  <si>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</si>
  <si>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</si>
  <si>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</si>
  <si>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</si>
  <si>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</si>
  <si>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</si>
  <si>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</si>
  <si>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</si>
  <si>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</si>
  <si>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</si>
  <si>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</si>
  <si>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</si>
  <si>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</si>
  <si>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</si>
  <si>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</si>
  <si>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</si>
  <si>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</si>
  <si>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</si>
  <si>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</si>
  <si>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</si>
  <si>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</si>
  <si>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</si>
  <si>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</si>
  <si>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</si>
  <si>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</si>
  <si>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</si>
  <si>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</si>
  <si>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</si>
  <si>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</si>
  <si>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</si>
  <si>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</si>
  <si>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</si>
  <si>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</si>
  <si>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</si>
  <si>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</si>
  <si>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</si>
  <si>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</si>
  <si>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</si>
  <si>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</si>
  <si>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</si>
  <si>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</si>
  <si>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</si>
  <si>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</si>
  <si>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</si>
  <si>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</si>
  <si>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</si>
  <si>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</si>
  <si>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</si>
  <si>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</si>
  <si>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</si>
  <si>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</si>
  <si>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</si>
  <si>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</si>
  <si>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</si>
  <si>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</si>
  <si>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</si>
  <si>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</si>
  <si>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</si>
  <si>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</si>
  <si>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</si>
  <si>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</si>
  <si>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</si>
  <si>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</si>
  <si>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</si>
  <si>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</si>
  <si>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</si>
  <si>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</si>
  <si>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</si>
  <si>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</si>
  <si>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</si>
  <si>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</si>
  <si>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</si>
  <si>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</si>
  <si>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</si>
  <si>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</si>
  <si>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</si>
  <si>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</si>
  <si>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</si>
  <si>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</si>
  <si>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</si>
  <si>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</si>
  <si>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</si>
  <si>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</si>
  <si>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</si>
  <si>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</si>
  <si>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</si>
  <si>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</si>
  <si>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</si>
  <si>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</si>
  <si>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</si>
  <si>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</si>
  <si>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</si>
  <si>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</si>
  <si>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</si>
  <si>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</si>
  <si>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</si>
  <si>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</si>
  <si>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</si>
  <si>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</si>
  <si>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</si>
  <si>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</si>
  <si>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</si>
  <si>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</si>
  <si>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</si>
  <si>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</si>
  <si>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</si>
  <si>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</si>
  <si>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</si>
  <si>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</si>
  <si>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</si>
  <si>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</si>
  <si>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</si>
  <si>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</si>
  <si>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</si>
  <si>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</si>
  <si>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</si>
  <si>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</si>
  <si>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</si>
  <si>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</si>
  <si>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</si>
  <si>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</si>
  <si>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</si>
  <si>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</si>
  <si>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</si>
  <si>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</si>
  <si>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</si>
  <si>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</si>
  <si>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</si>
  <si>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</si>
  <si>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</si>
  <si>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</si>
  <si>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</si>
  <si>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</si>
  <si>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</si>
  <si>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</si>
  <si>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</si>
  <si>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</si>
  <si>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</si>
  <si>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</si>
  <si>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</si>
  <si>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</si>
  <si>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</si>
  <si>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</si>
  <si>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</si>
  <si>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</si>
  <si>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</si>
  <si>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</si>
  <si>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</si>
  <si>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</si>
  <si>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</si>
  <si>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</si>
  <si>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</si>
  <si>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</si>
  <si>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</si>
  <si>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</si>
  <si>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</si>
  <si>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</si>
  <si>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</si>
  <si>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</si>
  <si>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</si>
  <si>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</si>
  <si>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</si>
  <si>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</si>
  <si>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</si>
  <si>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</si>
  <si>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</si>
  <si>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</si>
  <si>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</si>
  <si>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</si>
  <si>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</si>
  <si>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</si>
  <si>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</si>
  <si>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</si>
  <si>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</si>
  <si>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</si>
  <si>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</si>
  <si>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</si>
  <si>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</si>
  <si>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</si>
  <si>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</si>
  <si>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</si>
  <si>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</si>
  <si>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</si>
  <si>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</si>
  <si>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</si>
  <si>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</si>
  <si>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</si>
  <si>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</si>
  <si>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</si>
  <si>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</si>
  <si>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</si>
  <si>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</si>
  <si>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</si>
  <si>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</si>
  <si>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</si>
  <si>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</si>
  <si>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</si>
  <si>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</si>
  <si>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</si>
  <si>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</si>
  <si>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</si>
  <si>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</si>
  <si>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</si>
  <si>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</si>
  <si>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</si>
  <si>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</si>
  <si>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</si>
  <si>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</si>
  <si>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</si>
  <si>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</si>
  <si>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</si>
  <si>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</si>
  <si>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</si>
  <si>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</si>
  <si>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</si>
  <si>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</si>
  <si>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</si>
  <si>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</si>
  <si>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</si>
  <si>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</si>
  <si>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</si>
  <si>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</si>
  <si>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</si>
  <si>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</si>
  <si>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</si>
  <si>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</si>
  <si>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</si>
  <si>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</si>
  <si>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</si>
  <si>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</si>
  <si>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</si>
  <si>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</si>
  <si>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</si>
  <si>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</si>
  <si>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</si>
  <si>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</si>
  <si>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</si>
  <si>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</si>
  <si>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</si>
  <si>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</si>
  <si>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</si>
  <si>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</si>
  <si>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</si>
  <si>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</si>
  <si>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</si>
  <si>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</si>
  <si>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</si>
  <si>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</si>
  <si>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</si>
  <si>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</si>
  <si>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</si>
  <si>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</si>
  <si>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</si>
  <si>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</si>
  <si>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</si>
  <si>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</si>
  <si>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</si>
  <si>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</si>
  <si>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</si>
  <si>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</si>
  <si>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</si>
  <si>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</si>
  <si>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</si>
  <si>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</si>
  <si>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</si>
  <si>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</si>
  <si>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</si>
  <si>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</si>
  <si>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</si>
  <si>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</si>
  <si>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</si>
  <si>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</si>
  <si>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</si>
  <si>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</si>
  <si>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</si>
  <si>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</si>
  <si>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</si>
  <si>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</si>
  <si>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</si>
  <si>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</si>
  <si>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</si>
  <si>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</si>
  <si>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</si>
  <si>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</si>
  <si>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</si>
  <si>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</si>
  <si>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</si>
  <si>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</si>
  <si>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</si>
  <si>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</si>
  <si>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</si>
  <si>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</si>
  <si>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</si>
  <si>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</si>
  <si>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</si>
  <si>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</si>
  <si>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</si>
  <si>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</si>
  <si>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</si>
  <si>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</si>
  <si>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</si>
  <si>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</si>
  <si>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</si>
  <si>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</si>
  <si>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</si>
  <si>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</si>
  <si>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</si>
  <si>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</si>
  <si>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</si>
  <si>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</si>
  <si>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</si>
  <si>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</si>
  <si>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</si>
  <si>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</si>
  <si>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</si>
  <si>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</si>
  <si>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</si>
  <si>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</si>
  <si>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</si>
  <si>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</si>
  <si>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</si>
  <si>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</si>
  <si>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</si>
  <si>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</si>
  <si>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</si>
  <si>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</si>
  <si>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</si>
  <si>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</si>
  <si>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</si>
  <si>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</si>
  <si>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</si>
  <si>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</si>
  <si>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</si>
  <si>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</si>
  <si>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</si>
  <si>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</si>
  <si>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</si>
  <si>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</si>
  <si>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</si>
  <si>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</si>
  <si>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</si>
  <si>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</si>
  <si>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</si>
  <si>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Select antenna</t>
  </si>
  <si>
    <t xml:space="preserve">← Rank (1–10)</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</si>
  <si>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</si>
  <si>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</si>
  <si>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</si>
  <si>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</si>
  <si>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</si>
  <si>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</si>
  <si>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</si>
  <si>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</si>
  <si>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NEC2 rule: segment length ≤ λ/10 at highest frequency. Formula: MAX(11, 2×INT(L×f/30/2)+1). Forced odd. Corrected from original (was using /25.5 instead of /30).</t>
  </si>
  <si>
    <t xml:space="preserve">Segments (counterpoise)</t>
  </si>
  <si>
    <t xml:space="preserve">Segments for counterpoise wire. NEC2 rule: ≤ λ/10 at highest frequency. 0 if no counterpoise. Corrected formula (was using /25.5 instead of /30).</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</si>
  <si>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</si>
  <si>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</si>
  <si>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</si>
  <si>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</si>
  <si>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</si>
  <si>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</si>
  <si>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</si>
  <si>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</si>
  <si>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</si>
  <si>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</si>
  <si>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</si>
  <si>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</si>
  <si>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</si>
  <si>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 between lowest and highest freq. Smaller = more detail, larger file.</t>
  </si>
  <si>
    <t xml:space="preserve">Source Impedance</t>
  </si>
  <si>
    <t xml:space="preserve">Reference impedance for VSWR calculation. Standard: 50 Ω.</t>
  </si>
  <si>
    <t xml:space="preserve">Source Power</t>
  </si>
  <si>
    <t xml:space="preserve">Transmit power for field strength calculations.</t>
  </si>
  <si>
    <t xml:space="preserve">📐  ANTENNA GEOMETRY SUMMARY  (NEC2 wire definitions)</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</si>
  <si>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</si>
  <si>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</si>
  <si>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</si>
  <si>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</si>
  <si>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</si>
  <si>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</si>
  <si>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</si>
  <si>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</si>
  <si>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</si>
  <si>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</si>
  <si>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</si>
  <si>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 (if D6&gt;0)</t>
  </si>
  <si>
    <t xml:space="preserve">ℹ  NEC2 convention: antenna wire centered at origin (X-axis). Feedpoint is at centre (0,0,Z). Counterpoise runs along −X from feedpoint at same height. Adjust X1/X2 offsets below if you prefer end-fed geometry.</t>
  </si>
  <si>
    <t xml:space="preserve">📄  GENERATED NEC2 INPUT DECK  —  Copy everything in column A below the dashed line into a .nec file</t>
  </si>
  <si>
    <t xml:space="preserve">ℹ  Locale-safe NEC2 deck: all decimal points use "." regardless of system locale. Select A30:A45, copy, paste into a text editor, save as antenna.nec</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</si>
  <si>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</si>
  <si>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</si>
  <si>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</si>
  <si>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</si>
  <si>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</si>
  <si>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</si>
  <si>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</si>
  <si>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</si>
  <si>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</si>
  <si>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</si>
  <si>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</si>
  <si>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(centre segment of antenna wire tag 1).</t>
  </si>
  <si>
    <t xml:space="preserve">GN: ground type. -1=free space, 1=perfect, 2=real (Sommerfeld-Norton) with εr and σ.</t>
  </si>
  <si>
    <t xml:space="preserve">FR: linear frequency sweep. Steps = (fHigh-fLow)/step+1. Format: FR type steps 0 0 fStart fStep(MHz).</t>
  </si>
  <si>
    <t xml:space="preserve">RP: azimuth radiation pattern. 1 elevation angle (90°=horizon), 361 azimuth steps, 1° step.</t>
  </si>
  <si>
    <t xml:space="preserve">EN: end of NEC2 input file.</t>
  </si>
  <si>
    <t xml:space="preserve">🛠  NEC2 SOFTWARE TIPS</t>
  </si>
  <si>
    <t xml:space="preserve">Program / Tip</t>
  </si>
  <si>
    <t xml:space="preserve">4NEC2 (Windows, free)</t>
  </si>
  <si>
    <t xml:space="preserve">Most popular GUI. Open .nec file → Run → View far-field pattern &amp; impedance.</t>
  </si>
  <si>
    <t xml:space="preserve">EZNEC (Windows)</t>
  </si>
  <si>
    <t xml:space="preserve">Commercial, beginner-friendly. Import NEC file or enter geometry directly.</t>
  </si>
  <si>
    <t xml:space="preserve">xnec2c (Linux/Mac)</t>
  </si>
  <si>
    <t xml:space="preserve">Open-source. Run: xnec2c -i antenna.nec from the terminal.</t>
  </si>
  <si>
    <t xml:space="preserve">NEC2++ (CLI)</t>
  </si>
  <si>
    <t xml:space="preserve">Command-line. necpp antenna.nec  → outputs impedance &amp; gain data.</t>
  </si>
  <si>
    <t xml:space="preserve">Geometry check</t>
  </si>
  <si>
    <t xml:space="preserve">In 4NEC2: Validate → Check geometry before running to catch wire crossing errors.</t>
  </si>
  <si>
    <t xml:space="preserve">Segment guideline</t>
  </si>
  <si>
    <t xml:space="preserve">Optimal: λ/10 per segment at highest frequency. Too few → inaccurate; too many → slow.</t>
  </si>
  <si>
    <t xml:space="preserve">Ground sensitivity</t>
  </si>
  <si>
    <t xml:space="preserve">Run with "Perfect Ground" first for baseline, then switch to Real ground to see loss.</t>
  </si>
  <si>
    <t xml:space="preserve">Counterpoise tuning</t>
  </si>
  <si>
    <t xml:space="preserve">Try 0, 1, and 4 radials in separate runs. 4 × λ/4 radials ≈ nearly-perfect ground return.</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</si>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</sst>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9">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E75B6"/>
      </patternFill>
    </fill>
    <fill>
      <patternFill patternType="solid">
        <fgColor rgb="FFF39F33"/>
        <bgColor rgb="FFFFA8A2"/>
      </patternFill>
    </fill>
    <fill>
      <patternFill patternType="solid">
        <fgColor rgb="FFFFF2CC"/>
        <bgColor rgb="FFFFFACD"/>
      </patternFill>
    </fill>
    <fill>
      <patternFill patternType="solid">
        <fgColor rgb="FF375623"/>
        <bgColor rgb="FF404040"/>
      </patternFill>
    </fill>
    <fill>
      <patternFill patternType="solid">
        <fgColor rgb="FFFCE4D6"/>
        <bgColor rgb="FFFFDDDE"/>
      </patternFill>
    </fill>
    <fill>
      <patternFill patternType="solid">
        <fgColor rgb="FF4A7CC4"/>
        <bgColor rgb="FF2E75B6"/>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B8492"/>
        <bgColor rgb="FF778499"/>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23A02"/>
        <bgColor rgb="FF404040"/>
      </patternFill>
    </fill>
    <fill>
      <patternFill patternType="solid">
        <fgColor rgb="FFFFA8A2"/>
        <bgColor rgb="FFFFA6A6"/>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DE8F0"/>
        <bgColor rgb="FFDDEEFF"/>
      </patternFill>
    </fill>
    <fill>
      <patternFill patternType="solid">
        <fgColor rgb="FF0070C1"/>
        <bgColor rgb="FF2E75B6"/>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C"/>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E75B6"/>
        <bgColor rgb="FF3368A7"/>
      </patternFill>
    </fill>
    <fill>
      <patternFill patternType="solid">
        <fgColor rgb="FFDDEEFF"/>
        <bgColor rgb="FFDDE8F0"/>
      </patternFill>
    </fill>
    <fill>
      <patternFill patternType="solid">
        <fgColor rgb="FFEDF3EB"/>
        <bgColor rgb="FFF2F2F2"/>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FACD"/>
        <bgColor rgb="FFFFFFD7"/>
      </patternFill>
    </fill>
    <fill>
      <patternFill patternType="darkGray">
        <fgColor rgb="FFFFA8A2"/>
        <bgColor rgb="FFFFA6A6"/>
      </patternFill>
    </fill>
  </fills>
  <borders count="7">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n">
        <color rgb="FFAAAAAA"/>
      </left>
      <right/>
      <top style="thin">
        <color rgb="FFAAAAAA"/>
      </top>
      <bottom style="thin">
        <color rgb="FFAAAAAA"/>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6" fillId="41" borderId="0" xfId="0" applyFont="true" applyBorder="false" applyAlignment="true" applyProtection="true">
      <alignment horizontal="center"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49" fillId="42" borderId="0" xfId="0" applyFont="true" applyBorder="false" applyAlignment="true" applyProtection="true">
      <alignment horizontal="center" vertical="center" textRotation="0" wrapText="false" indent="0" shrinkToFit="false"/>
      <protection locked="true" hidden="false"/>
    </xf>
    <xf numFmtId="164" fontId="42" fillId="0" borderId="0" xfId="0" applyFont="true" applyBorder="false" applyAlignment="true" applyProtection="true">
      <alignment horizontal="general" vertical="center"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0"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 fillId="40" borderId="4" xfId="0" applyFont="true" applyBorder="true" applyAlignment="true" applyProtection="true">
      <alignment horizontal="center" vertical="center" textRotation="0" wrapText="true" indent="0" shrinkToFit="false"/>
      <protection locked="true" hidden="false"/>
    </xf>
    <xf numFmtId="164" fontId="13" fillId="42" borderId="4" xfId="0" applyFont="true" applyBorder="true" applyAlignment="true" applyProtection="true">
      <alignment horizontal="center" vertical="center" textRotation="0" wrapText="true" indent="0" shrinkToFit="false"/>
      <protection locked="true" hidden="false"/>
    </xf>
    <xf numFmtId="164" fontId="48" fillId="42" borderId="4" xfId="0" applyFont="true" applyBorder="true" applyAlignment="true" applyProtection="true">
      <alignment horizontal="center" vertical="center" textRotation="0" wrapText="true" indent="0" shrinkToFit="false"/>
      <protection locked="true" hidden="false"/>
    </xf>
    <xf numFmtId="164" fontId="42" fillId="5" borderId="5" xfId="0" applyFont="true" applyBorder="true" applyAlignment="true" applyProtection="true">
      <alignment horizontal="left"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4" fillId="0" borderId="0" xfId="0" applyFont="true" applyBorder="true" applyAlignment="true" applyProtection="true">
      <alignment horizontal="general" vertical="bottom" textRotation="0" wrapText="true" indent="0" shrinkToFit="false"/>
      <protection locked="true" hidden="false"/>
    </xf>
    <xf numFmtId="164" fontId="5" fillId="40" borderId="5"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13" fillId="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right" vertical="center" textRotation="0" wrapText="true" indent="0" shrinkToFit="false"/>
      <protection locked="true" hidden="false"/>
    </xf>
    <xf numFmtId="164" fontId="13" fillId="0" borderId="0" xfId="0" applyFont="true" applyBorder="fals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1" fillId="2" borderId="0" xfId="0" applyFont="true" applyBorder="tru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2" fillId="25" borderId="0" xfId="0" applyFont="true" applyBorder="true" applyAlignment="true" applyProtection="true">
      <alignment horizontal="center" vertical="center" textRotation="0" wrapText="true" indent="0" shrinkToFit="false"/>
      <protection locked="true" hidden="false"/>
    </xf>
    <xf numFmtId="164" fontId="53" fillId="7" borderId="0" xfId="0" applyFont="true" applyBorder="true" applyAlignment="true" applyProtection="true">
      <alignment horizontal="center" vertical="center" textRotation="0" wrapText="true" indent="0" shrinkToFit="false"/>
      <protection locked="true" hidden="false"/>
    </xf>
    <xf numFmtId="164" fontId="5" fillId="2" borderId="6" xfId="0" applyFont="true" applyBorder="true" applyAlignment="true" applyProtection="true">
      <alignment horizontal="center" vertical="center" textRotation="0" wrapText="true" indent="0" shrinkToFit="false"/>
      <protection locked="true" hidden="false"/>
    </xf>
    <xf numFmtId="169" fontId="13" fillId="43" borderId="0" xfId="0" applyFont="true" applyBorder="false" applyAlignment="true" applyProtection="true">
      <alignment horizontal="center" vertical="center" textRotation="0" wrapText="true" indent="0" shrinkToFit="false"/>
      <protection locked="true" hidden="false"/>
    </xf>
    <xf numFmtId="164" fontId="13" fillId="43"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1"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1" fillId="0" borderId="0" xfId="0" applyFont="true" applyBorder="false" applyAlignment="true" applyProtection="true">
      <alignment horizontal="center" vertical="bottom" textRotation="0" wrapText="true" indent="0" shrinkToFit="false"/>
      <protection locked="true" hidden="false"/>
    </xf>
    <xf numFmtId="164" fontId="54"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1" fillId="3" borderId="0" xfId="0" applyFont="true" applyBorder="true" applyAlignment="true" applyProtection="true">
      <alignment horizontal="center" vertical="bottom" textRotation="0" wrapText="true" indent="0" shrinkToFit="false"/>
      <protection locked="true" hidden="false"/>
    </xf>
    <xf numFmtId="164" fontId="19" fillId="44" borderId="2" xfId="0" applyFont="true" applyBorder="true" applyAlignment="true" applyProtection="true">
      <alignment horizontal="center" vertical="bottom" textRotation="0" wrapText="true" indent="0" shrinkToFit="false"/>
      <protection locked="true" hidden="false"/>
    </xf>
    <xf numFmtId="164" fontId="55" fillId="0" borderId="2" xfId="0" applyFont="true" applyBorder="true" applyAlignment="true" applyProtection="true">
      <alignment horizontal="center" vertical="bottom" textRotation="0" wrapText="true" indent="0" shrinkToFit="false"/>
      <protection locked="true" hidden="false"/>
    </xf>
    <xf numFmtId="167" fontId="55" fillId="0" borderId="2" xfId="0" applyFont="true" applyBorder="true" applyAlignment="true" applyProtection="true">
      <alignment horizontal="center" vertical="bottom" textRotation="0" wrapText="true" indent="0" shrinkToFit="false"/>
      <protection locked="true" hidden="false"/>
    </xf>
    <xf numFmtId="175" fontId="55" fillId="0" borderId="2" xfId="0" applyFont="true" applyBorder="true" applyAlignment="true" applyProtection="true">
      <alignment horizontal="center" vertical="bottom" textRotation="0" wrapText="true" indent="0" shrinkToFit="false"/>
      <protection locked="true" hidden="false"/>
    </xf>
    <xf numFmtId="164" fontId="51" fillId="6" borderId="0" xfId="0" applyFont="true" applyBorder="true" applyAlignment="true" applyProtection="true">
      <alignment horizontal="center" vertical="bottom" textRotation="0" wrapText="true" indent="0" shrinkToFit="false"/>
      <protection locked="true" hidden="false"/>
    </xf>
    <xf numFmtId="170" fontId="55" fillId="0" borderId="2" xfId="0" applyFont="true" applyBorder="true" applyAlignment="true" applyProtection="true">
      <alignment horizontal="center" vertical="bottom" textRotation="0" wrapText="true" indent="0" shrinkToFit="false"/>
      <protection locked="true" hidden="false"/>
    </xf>
    <xf numFmtId="177" fontId="55" fillId="0" borderId="2" xfId="0" applyFont="true" applyBorder="true" applyAlignment="true" applyProtection="true">
      <alignment horizontal="center" vertical="bottom" textRotation="0" wrapText="true" indent="0" shrinkToFit="false"/>
      <protection locked="true" hidden="false"/>
    </xf>
    <xf numFmtId="177" fontId="55" fillId="0" borderId="0" xfId="0" applyFont="true" applyBorder="false" applyAlignment="true" applyProtection="true">
      <alignment horizontal="center" vertical="bottom" textRotation="0" wrapText="true" indent="0" shrinkToFit="false"/>
      <protection locked="true" hidden="false"/>
    </xf>
    <xf numFmtId="170" fontId="55" fillId="0" borderId="0" xfId="0" applyFont="true" applyBorder="false" applyAlignment="true" applyProtection="true">
      <alignment horizontal="center" vertical="bottom" textRotation="0" wrapText="true" indent="0" shrinkToFit="false"/>
      <protection locked="true" hidden="false"/>
    </xf>
    <xf numFmtId="164" fontId="51" fillId="11" borderId="0" xfId="0" applyFont="true" applyBorder="true" applyAlignment="true" applyProtection="true">
      <alignment horizontal="center" vertical="bottom" textRotation="0" wrapText="true" indent="0" shrinkToFit="false"/>
      <protection locked="true" hidden="false"/>
    </xf>
    <xf numFmtId="164" fontId="54" fillId="0" borderId="0" xfId="0" applyFont="true" applyBorder="true" applyAlignment="true" applyProtection="true">
      <alignment horizontal="center" vertical="bottom" textRotation="0" wrapText="true" indent="0" shrinkToFit="false"/>
      <protection locked="true" hidden="false"/>
    </xf>
    <xf numFmtId="164" fontId="51" fillId="45" borderId="2" xfId="0" applyFont="true" applyBorder="true" applyAlignment="true" applyProtection="true">
      <alignment horizontal="center" vertical="bottom" textRotation="0" wrapText="true" indent="0" shrinkToFit="false"/>
      <protection locked="true" hidden="false"/>
    </xf>
    <xf numFmtId="170" fontId="51" fillId="45" borderId="2" xfId="0" applyFont="true" applyBorder="true" applyAlignment="true" applyProtection="true">
      <alignment horizontal="center" vertical="bottom" textRotation="0" wrapText="true" indent="0" shrinkToFit="false"/>
      <protection locked="true" hidden="false"/>
    </xf>
    <xf numFmtId="177" fontId="51" fillId="13" borderId="0" xfId="0" applyFont="true" applyBorder="true" applyAlignment="true" applyProtection="true">
      <alignment horizontal="center" vertical="bottom" textRotation="0" wrapText="true" indent="0" shrinkToFit="false"/>
      <protection locked="true" hidden="false"/>
    </xf>
    <xf numFmtId="177" fontId="51" fillId="6" borderId="0" xfId="0" applyFont="true" applyBorder="true" applyAlignment="true" applyProtection="true">
      <alignment horizontal="center" vertical="bottom" textRotation="0" wrapText="true" indent="0" shrinkToFit="false"/>
      <protection locked="true" hidden="false"/>
    </xf>
    <xf numFmtId="177" fontId="51" fillId="11" borderId="0" xfId="0" applyFont="true" applyBorder="true" applyAlignment="true" applyProtection="true">
      <alignment horizontal="center" vertical="bottom" textRotation="0" wrapText="true" indent="0" shrinkToFit="false"/>
      <protection locked="true" hidden="false"/>
    </xf>
    <xf numFmtId="164" fontId="51" fillId="20" borderId="0" xfId="0" applyFont="true" applyBorder="true" applyAlignment="true" applyProtection="true">
      <alignment horizontal="center" vertical="bottom" textRotation="0" wrapText="true" indent="0" shrinkToFit="false"/>
      <protection locked="true" hidden="false"/>
    </xf>
    <xf numFmtId="164" fontId="51" fillId="8" borderId="0"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77" fontId="56" fillId="27" borderId="2" xfId="0" applyFont="true" applyBorder="true" applyAlignment="true" applyProtection="true">
      <alignment horizontal="center" vertical="bottom" textRotation="0" wrapText="true" indent="0" shrinkToFit="false"/>
      <protection locked="true" hidden="false"/>
    </xf>
    <xf numFmtId="164" fontId="56" fillId="27" borderId="2" xfId="0" applyFont="true" applyBorder="tru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7" fillId="24" borderId="2" xfId="0" applyFont="true" applyBorder="true" applyAlignment="true" applyProtection="true">
      <alignment horizontal="center" vertical="bottom" textRotation="0" wrapText="true" indent="0" shrinkToFit="false"/>
      <protection locked="true" hidden="false"/>
    </xf>
    <xf numFmtId="164" fontId="55" fillId="24" borderId="2" xfId="0" applyFont="true" applyBorder="true" applyAlignment="true" applyProtection="true">
      <alignment horizontal="center" vertical="bottom" textRotation="0" wrapText="true" indent="0" shrinkToFit="false"/>
      <protection locked="true" hidden="false"/>
    </xf>
    <xf numFmtId="170" fontId="55" fillId="24" borderId="2" xfId="0" applyFont="true" applyBorder="true" applyAlignment="true" applyProtection="true">
      <alignment horizontal="center" vertical="bottom" textRotation="0" wrapText="true" indent="0" shrinkToFit="false"/>
      <protection locked="true" hidden="false"/>
    </xf>
    <xf numFmtId="177" fontId="55" fillId="24" borderId="2" xfId="0" applyFont="true" applyBorder="true" applyAlignment="true" applyProtection="true">
      <alignment horizontal="center" vertical="bottom" textRotation="0" wrapText="true" indent="0" shrinkToFit="false"/>
      <protection locked="true" hidden="false"/>
    </xf>
    <xf numFmtId="177" fontId="55"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5" fillId="46" borderId="2" xfId="0" applyFont="true" applyBorder="true" applyAlignment="true" applyProtection="true">
      <alignment horizontal="center" vertical="bottom" textRotation="0" wrapText="true" indent="0" shrinkToFit="false"/>
      <protection locked="true" hidden="false"/>
    </xf>
    <xf numFmtId="164" fontId="23" fillId="46"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6" borderId="0" xfId="0" applyFont="true" applyBorder="false" applyAlignment="true" applyProtection="true">
      <alignment horizontal="center" vertical="bottom" textRotation="0" wrapText="true" indent="0" shrinkToFit="false"/>
      <protection locked="true" hidden="false"/>
    </xf>
    <xf numFmtId="164" fontId="55" fillId="43" borderId="2" xfId="0" applyFont="true" applyBorder="true" applyAlignment="true" applyProtection="true">
      <alignment horizontal="center" vertical="bottom" textRotation="0" wrapText="true" indent="0" shrinkToFit="false"/>
      <protection locked="true" hidden="false"/>
    </xf>
    <xf numFmtId="170" fontId="55" fillId="43" borderId="2" xfId="0" applyFont="true" applyBorder="true" applyAlignment="true" applyProtection="true">
      <alignment horizontal="center" vertical="bottom" textRotation="0" wrapText="true" indent="0" shrinkToFit="false"/>
      <protection locked="true" hidden="false"/>
    </xf>
    <xf numFmtId="177" fontId="55" fillId="43" borderId="2" xfId="0" applyFont="true" applyBorder="true" applyAlignment="true" applyProtection="true">
      <alignment horizontal="center" vertical="bottom" textRotation="0" wrapText="true" indent="0" shrinkToFit="false"/>
      <protection locked="true" hidden="false"/>
    </xf>
    <xf numFmtId="164" fontId="23" fillId="43" borderId="2" xfId="0" applyFont="true" applyBorder="true" applyAlignment="true" applyProtection="true">
      <alignment horizontal="center" vertical="bottom" textRotation="0" wrapText="true" indent="0" shrinkToFit="false"/>
      <protection locked="true" hidden="false"/>
    </xf>
    <xf numFmtId="164" fontId="23" fillId="43" borderId="0" xfId="0" applyFont="true" applyBorder="false" applyAlignment="true" applyProtection="true">
      <alignment horizontal="center" vertical="bottom" textRotation="0" wrapText="true" indent="0" shrinkToFit="false"/>
      <protection locked="true" hidden="false"/>
    </xf>
    <xf numFmtId="164" fontId="55" fillId="46" borderId="2" xfId="0" applyFont="true" applyBorder="true" applyAlignment="true" applyProtection="true">
      <alignment horizontal="center" vertical="bottom" textRotation="0" wrapText="true" indent="0" shrinkToFit="false"/>
      <protection locked="true" hidden="false"/>
    </xf>
    <xf numFmtId="167" fontId="55" fillId="24" borderId="2" xfId="0" applyFont="true" applyBorder="true" applyAlignment="true" applyProtection="true">
      <alignment horizontal="center" vertical="bottom" textRotation="0" wrapText="true" indent="0" shrinkToFit="false"/>
      <protection locked="true" hidden="false"/>
    </xf>
    <xf numFmtId="164" fontId="55" fillId="5" borderId="2" xfId="0" applyFont="true" applyBorder="true" applyAlignment="true" applyProtection="true">
      <alignment horizontal="center" vertical="bottom" textRotation="0" wrapText="true" indent="0" shrinkToFit="false"/>
      <protection locked="true" hidden="false"/>
    </xf>
    <xf numFmtId="167" fontId="55" fillId="43"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true" applyAlignment="true" applyProtection="true">
      <alignment horizontal="center" vertical="center" textRotation="0" wrapText="true" indent="0" shrinkToFit="false"/>
      <protection locked="true" hidden="false"/>
    </xf>
    <xf numFmtId="164" fontId="58" fillId="44"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1"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C"/>
      <rgbColor rgb="FFEDF3EB"/>
      <rgbColor rgb="FF0000FF"/>
      <rgbColor rgb="FFFFE99A"/>
      <rgbColor rgb="FFFCE4D6"/>
      <rgbColor rgb="FFDDE8F0"/>
      <rgbColor rgb="FFB00001"/>
      <rgbColor rgb="FF006300"/>
      <rgbColor rgb="FF1F4E79"/>
      <rgbColor rgb="FF778499"/>
      <rgbColor rgb="FFF2F2F2"/>
      <rgbColor rgb="FF1F5C8B"/>
      <rgbColor rgb="FFB4C7DC"/>
      <rgbColor rgb="FF7B8492"/>
      <rgbColor rgb="FF93AABE"/>
      <rgbColor rgb="FF7030A0"/>
      <rgbColor rgb="FFFFFFD7"/>
      <rgbColor rgb="FFDDEEFF"/>
      <rgbColor rgb="FFF2F8FC"/>
      <rgbColor rgb="FFFFA8A2"/>
      <rgbColor rgb="FF0070C1"/>
      <rgbColor rgb="FFBDD7EE"/>
      <rgbColor rgb="FF1F507C"/>
      <rgbColor rgb="FFEEEEEE"/>
      <rgbColor rgb="FFFFFACD"/>
      <rgbColor rgb="FFDDE8CB"/>
      <rgbColor rgb="FFF5F5F5"/>
      <rgbColor rgb="FFFFFBE7"/>
      <rgbColor rgb="FF3368A7"/>
      <rgbColor rgb="FFFAFAFA"/>
      <rgbColor rgb="FFE2F1CF"/>
      <rgbColor rgb="FFF0F9FF"/>
      <rgbColor rgb="FFC6EFCE"/>
      <rgbColor rgb="FFFFFFA6"/>
      <rgbColor rgb="FFAFD095"/>
      <rgbColor rgb="FFFFA6A6"/>
      <rgbColor rgb="FFABABAB"/>
      <rgbColor rgb="FFFFC7CE"/>
      <rgbColor rgb="FF2E75B6"/>
      <rgbColor rgb="FFD9D9D9"/>
      <rgbColor rgb="FFADD08F"/>
      <rgbColor rgb="FFFFCED3"/>
      <rgbColor rgb="FFF39F33"/>
      <rgbColor rgb="FFFFDDDE"/>
      <rgbColor rgb="FF595959"/>
      <rgbColor rgb="FFAAAAAA"/>
      <rgbColor rgb="FF1B3662"/>
      <rgbColor rgb="FF4A7CC4"/>
      <rgbColor rgb="FF375623"/>
      <rgbColor rgb="FF1A2D40"/>
      <rgbColor rgb="FF82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6.27295003987512</c:v>
                </c:pt>
                <c:pt idx="5">
                  <c:v>25.7024949682897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6.24</c:v>
                </c:pt>
                <c:pt idx="5">
                  <c:v>19.93</c:v>
                </c:pt>
              </c:numCache>
            </c:numRef>
          </c:val>
        </c:ser>
        <c:gapWidth val="100"/>
        <c:overlap val="0"/>
        <c:axId val="13067996"/>
        <c:axId val="30163730"/>
      </c:barChart>
      <c:catAx>
        <c:axId val="13067996"/>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63730"/>
        <c:crosses val="autoZero"/>
        <c:auto val="1"/>
        <c:lblAlgn val="ctr"/>
        <c:lblOffset val="100"/>
        <c:noMultiLvlLbl val="0"/>
      </c:catAx>
      <c:valAx>
        <c:axId val="30163730"/>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67996"/>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2868120</xdr:colOff>
      <xdr:row>71</xdr:row>
      <xdr:rowOff>101880</xdr:rowOff>
    </xdr:to>
    <xdr:graphicFrame>
      <xdr:nvGraphicFramePr>
        <xdr:cNvPr id="1" name="Chart 1"/>
        <xdr:cNvGraphicFramePr/>
      </xdr:nvGraphicFramePr>
      <xdr:xfrm>
        <a:off x="0" y="10678680"/>
        <a:ext cx="10829160" cy="4968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D29" activeCellId="1" sqref="A30:D45 D29"/>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0" colorId="64" zoomScale="200" zoomScaleNormal="200" zoomScalePageLayoutView="100" workbookViewId="0">
      <selection pane="topLeft" activeCell="A2" activeCellId="1" sqref="A30:D45 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9</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IF(B11&lt;&gt;"YES","—",IF($C$4&lt;D11,"&lt; λ/4",1500*SIN(2*PI()*MOD($C$4/C11,1))))</f>
        <v>1347.51384482052</v>
      </c>
      <c r="H11" s="79" t="n">
        <f aca="false">IF(B11&lt;&gt;"YES","—",IF($C$4&lt;D11,"—",(1+SQRT((((F11)-$C$5*50)^2+(G11)^2)/(((F11)+$C$5*50)^2+(G11)^2)))/(1-SQRT((((F11)-$C$5*50)^2+(G11)^2)/(((F11)+$C$5*50)^2+(G11)^2)))))</f>
        <v>6.27295003987512</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IF(B13&lt;&gt;"YES","—",IF($C$4&lt;D13,"&lt; λ/4",1500*SIN(2*PI()*MOD($C$4/C13,1))))</f>
        <v>1368.42858746366</v>
      </c>
      <c r="H13" s="79" t="n">
        <f aca="false">IF(B13&lt;&gt;"YES","—",IF($C$4&lt;D13,"—",(1+SQRT((((F13)-$C$5*50)^2+(G13)^2)/(((F13)+$C$5*50)^2+(G13)^2)))/(1-SQRT((((F13)-$C$5*50)^2+(G13)^2)/(((F13)+$C$5*50)^2+(G13)^2)))))</f>
        <v>25.7024949682897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IF(AND(B17="YES",$C$4&gt;=D17),MOD($C$4/C17,1),"—")</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IF(B11&lt;&gt;"YES","—",IF($C$4&lt;D11,"—",ROUND((1+SQRT(((F11+E32-$C$5*50)^2+G11^2)/((F11+E32+$C$5*50)^2+G11^2)))/(1-SQRT(((F11+E32-$C$5*50)^2+G11^2)/((F11+E32+$C$5*50)^2+G11^2))),2)))</f>
        <v>6.24</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IF(B13&lt;&gt;"YES","—",IF($C$4&lt;D13,"—",ROUND((1+SQRT(((F13+E34-$C$5*50)^2+G13^2)/((F13+E34+$C$5*50)^2+G13^2)))/(1-SQRT(((F13+E34-$C$5*50)^2+G13^2)/((F13+E34+$C$5*50)^2+G13^2))),2)))</f>
        <v>19.93</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1" sqref="A30:D45 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IFERROR(VLOOKUP(C13,Toroid_Database!A:G,7,FALSE()),1)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NO</v>
      </c>
      <c r="E100" s="162" t="n">
        <f aca="false">Calculator!F21</f>
        <v>4.93934142114385</v>
      </c>
      <c r="F100" s="160" t="str">
        <f aca="false">IF(AND(D100="YES",$C$83&gt;=Calculator!G21),MOD($C$83/E100,1),"—")</f>
        <v>—</v>
      </c>
      <c r="G100" s="163" t="str">
        <f aca="false">IF(AND(D100="YES",$C$83&gt;=Calculator!G21),ROUND(50*POWER(80,COS(PI()*MOD($C$83/E100,1))^2),0),"—")</f>
        <v>—</v>
      </c>
      <c r="H100" s="164" t="str">
        <f aca="false">IF(AND(D100="YES",$C$83&gt;=Calculator!G21),ROUND(1500*SIN(2*PI()*MOD($C$83/E100,1)),1),"—")</f>
        <v>—</v>
      </c>
      <c r="I100" s="156" t="str">
        <f aca="false">IF(D100&lt;&gt;"YES","—",IF(OR($C$84="Capacitor (Series C)",$C$84="Capacitor"),ROUND(-159155/(C100*$C$85),1),IF(OR($C$84="Inductor (Series L)",$C$84="Inductor"),ROUND(2*PI()*C100*$C$85,1),"—")))</f>
        <v>—</v>
      </c>
      <c r="J100" s="164" t="str">
        <f aca="false">IF(AND(D100="YES",ISNUMBER(H100),ISNUMBER(I100)),ROUND(H100+I100,1),"—")</f>
        <v>—</v>
      </c>
      <c r="K100" s="162" t="str">
        <f aca="false">IF(AND(D100="YES",ISNUMBER(G100),ISNUMBER(H100)),(1+SQRT((G100/$C$86-$C$87)^2+(H100/$C$86)^2)/SQRT((G100/$C$86+$C$87)^2+(H100/$C$86)^2))/(1-SQRT((G100/$C$86-$C$87)^2+(H100/$C$86)^2)/SQRT((G100/$C$86+$C$87)^2+(H100/$C$86)^2)),"—")</f>
        <v>—</v>
      </c>
      <c r="L100" s="165" t="str">
        <f aca="false">IF(AND(D100="YES",ISNUMBER(G100),ISNUMBER(J100)),(1+SQRT((G100/$C$86-$C$87)^2+(J100/$C$86)^2)/SQRT((G100/$C$86+$C$87)^2+(J100/$C$86)^2))/(1-SQRT((G100/$C$86-$C$87)^2+(J100/$C$86)^2)/SQRT((G100/$C$86+$C$87)^2+(J100/$C$86)^2)),"—")</f>
        <v>—</v>
      </c>
      <c r="M100" s="162" t="str">
        <f aca="false">IF(AND(ISNUMBER(K100),ISNUMBER(L100)),ROUND(L100-K100,2),"—")</f>
        <v>—</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customFormat="false" ht="13.5" hidden="false" customHeight="true" outlineLevel="0" collapsed="false"/>
    <row r="1083" customFormat="false" ht="13.5" hidden="false" customHeight="true" outlineLevel="0" collapsed="false"/>
    <row r="1084" customFormat="false" ht="13.5" hidden="false" customHeight="true" outlineLevel="0" collapsed="false"/>
    <row r="1085" customFormat="false" ht="13.5" hidden="false" customHeight="true" outlineLevel="0" collapsed="false"/>
    <row r="1086" customFormat="false" ht="13.5" hidden="false" customHeight="true" outlineLevel="0" collapsed="false"/>
    <row r="1087" customFormat="false" ht="13.5" hidden="false" customHeight="true" outlineLevel="0" collapsed="false"/>
    <row r="1088" customFormat="false" ht="13.5" hidden="false" customHeight="true" outlineLevel="0" collapsed="false"/>
    <row r="1089" customFormat="false" ht="13.5" hidden="false" customHeight="true" outlineLevel="0" collapsed="false"/>
    <row r="1090" customFormat="false" ht="13.5" hidden="false" customHeight="true" outlineLevel="0" collapsed="false"/>
    <row r="1091" customFormat="false" ht="13.5" hidden="false" customHeight="true" outlineLevel="0" collapsed="false"/>
    <row r="1092" customFormat="false" ht="13.5" hidden="false" customHeight="true" outlineLevel="0" collapsed="false"/>
    <row r="1093" customFormat="false" ht="13.5" hidden="false" customHeight="true" outlineLevel="0" collapsed="false"/>
    <row r="1094" customFormat="false" ht="13.5" hidden="false" customHeight="true" outlineLevel="0" collapsed="false"/>
    <row r="1095" customFormat="false" ht="13.5" hidden="false" customHeight="true" outlineLevel="0" collapsed="false"/>
    <row r="1096" customFormat="false" ht="13.5" hidden="false" customHeight="true" outlineLevel="0" collapsed="false"/>
    <row r="1097" customFormat="false" ht="13.5" hidden="false" customHeight="true" outlineLevel="0" collapsed="false"/>
    <row r="1098" customFormat="false" ht="13.5" hidden="false" customHeight="true" outlineLevel="0" collapsed="false"/>
    <row r="1099" customFormat="false" ht="13.5" hidden="false" customHeight="true" outlineLevel="0" collapsed="false"/>
    <row r="1100" customFormat="fals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64"/>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3" activeCellId="1" sqref="A30:D45 B3"/>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23.4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2</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3</v>
      </c>
      <c r="E13" s="179" t="s">
        <v>249</v>
      </c>
      <c r="F13" s="179"/>
      <c r="G13" s="179"/>
      <c r="H13" s="179"/>
      <c r="I13" s="179"/>
      <c r="J13" s="1"/>
    </row>
    <row r="14" customFormat="false" ht="13.5" hidden="false" customHeight="true" outlineLevel="0" collapsed="false">
      <c r="A14" s="1"/>
      <c r="B14" s="172" t="s">
        <v>250</v>
      </c>
      <c r="C14" s="173" t="n">
        <v>1</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1223</v>
      </c>
      <c r="E18" s="184" t="n">
        <f aca="false">IF(C18="","",IFERROR(ROUND(1500*SIN(2*PI()*MOD($C$5/INDEX(Calculator!$F$12:$F$22,MATCH(C18,Calculator!$D$12:$D$22,0)),1)),0),""))</f>
        <v>1333</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160</v>
      </c>
      <c r="E19" s="184" t="n">
        <f aca="false">IF(C19="","",IFERROR(ROUND(1500*SIN(2*PI()*MOD($C$5/INDEX(Calculator!$F$12:$F$22,MATCH(C19,Calculator!$D$12:$D$22,0)),1)),0),""))</f>
        <v>1325</v>
      </c>
      <c r="F19" s="182" t="str">
        <f aca="false">IF(ROW()-17&lt;=$C$12,"YES","NO")</f>
        <v>YES</v>
      </c>
      <c r="G19" s="185"/>
      <c r="H19" s="75"/>
      <c r="I19" s="76"/>
      <c r="J19" s="1"/>
    </row>
    <row r="20" customFormat="false" ht="13.5" hidden="false" customHeight="true" outlineLevel="0" collapsed="false">
      <c r="A20" s="1"/>
      <c r="B20" s="182" t="n">
        <v>3</v>
      </c>
      <c r="C20" s="173" t="str">
        <f aca="false" t="array" ref="C20:C20">IFERROR(INDEX(Calculator!$D$12:$D$22,SMALL(IF(Calculator!$E$12:$E$22="YES",ROW(Calculator!$D$12:$D$22)-ROW(Calculator!$D$12)+1),3),1),"")</f>
        <v/>
      </c>
      <c r="D20" s="183" t="str">
        <f aca="false">IF(C20="","",IFERROR(ROUND(50*POWER(80,COS(PI()*MOD($C$5/INDEX(Calculator!$F$12:$F$22,MATCH(C20,Calculator!$D$12:$D$22,0)),1))^2),0),""))</f>
        <v/>
      </c>
      <c r="E20" s="184" t="str">
        <f aca="false">IF(C20="","",IFERROR(ROUND(1500*SIN(2*PI()*MOD($C$5/INDEX(Calculator!$F$12:$F$22,MATCH(C20,Calculator!$D$12:$D$22,0)),1)),0),""))</f>
        <v/>
      </c>
      <c r="F20" s="182" t="str">
        <f aca="false">IF(ROW()-17&lt;=$C$12,"YES","NO")</f>
        <v>NO</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5</v>
      </c>
      <c r="D36" s="187" t="s">
        <v>262</v>
      </c>
      <c r="E36" s="1"/>
      <c r="F36" s="1"/>
      <c r="G36" s="1"/>
      <c r="H36" s="1"/>
      <c r="I36" s="1"/>
      <c r="J36" s="1"/>
    </row>
    <row r="37" customFormat="false" ht="13.5" hidden="false" customHeight="true" outlineLevel="0" collapsed="false">
      <c r="A37" s="1"/>
      <c r="B37" s="172" t="s">
        <v>263</v>
      </c>
      <c r="C37" s="177" t="n">
        <f aca="false">C12</f>
        <v>2</v>
      </c>
      <c r="D37" s="187" t="s">
        <v>246</v>
      </c>
      <c r="E37" s="1"/>
      <c r="F37" s="1"/>
      <c r="G37" s="1"/>
      <c r="H37" s="1"/>
      <c r="I37" s="1"/>
      <c r="J37" s="1"/>
    </row>
    <row r="38" customFormat="false" ht="13.5" hidden="false" customHeight="true" outlineLevel="0" collapsed="false">
      <c r="A38" s="1"/>
      <c r="B38" s="172" t="s">
        <v>264</v>
      </c>
      <c r="C38" s="188" t="n">
        <f aca="false">I73</f>
        <v>4005.53063332699</v>
      </c>
      <c r="D38" s="187" t="s">
        <v>122</v>
      </c>
      <c r="E38" s="1"/>
      <c r="F38" s="1"/>
      <c r="G38" s="1"/>
      <c r="H38" s="1"/>
      <c r="I38" s="1"/>
      <c r="J38" s="1"/>
    </row>
    <row r="39" customFormat="false" ht="13.5" hidden="false" customHeight="true" outlineLevel="0" collapsed="false">
      <c r="A39" s="1"/>
      <c r="B39" s="172" t="s">
        <v>265</v>
      </c>
      <c r="C39" s="189" t="n">
        <f aca="false">IFERROR(C117,"—")</f>
        <v>22.2380070368202</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c r="O43" s="190" t="s">
        <v>280</v>
      </c>
      <c r="P43" s="190" t="s">
        <v>281</v>
      </c>
      <c r="Q43" s="190" t="s">
        <v>282</v>
      </c>
      <c r="R43" s="190" t="s">
        <v>283</v>
      </c>
      <c r="S43" s="190" t="s">
        <v>284</v>
      </c>
      <c r="AA43" s="191" t="s">
        <v>285</v>
      </c>
    </row>
    <row r="44" customFormat="false" ht="13.5" hidden="false" customHeight="true" outlineLevel="0" collapsed="false">
      <c r="A44" s="1"/>
      <c r="B44" s="192" t="n">
        <v>1</v>
      </c>
      <c r="C44" s="177" t="n">
        <f aca="false">C18</f>
        <v>7.15</v>
      </c>
      <c r="D44" s="193" t="n">
        <f aca="false">D80</f>
        <v>1809.03786582813</v>
      </c>
      <c r="E44" s="194" t="n">
        <f aca="false">E80</f>
        <v>47.4642602096732</v>
      </c>
      <c r="F44" s="195" t="n">
        <f aca="false">D61</f>
        <v>4.9457052075513</v>
      </c>
      <c r="G44" s="178" t="n">
        <f aca="false">E61</f>
        <v>25</v>
      </c>
      <c r="H44" s="196" t="n">
        <f aca="false">F80</f>
        <v>2.83527586173387</v>
      </c>
      <c r="I44" s="197" t="n">
        <f aca="false">G80</f>
        <v>6.40190508965517</v>
      </c>
      <c r="J44" s="196" t="n">
        <f aca="false">I80</f>
        <v>22.8986295403042</v>
      </c>
      <c r="K44" s="198" t="str">
        <f aca="false">IF(D44&lt;&gt;"",G134,"—")</f>
        <v>—</v>
      </c>
      <c r="L44" s="199" t="n">
        <f aca="false">IF(D44&lt;&gt;"",H134,"—")</f>
        <v>408.451403902839</v>
      </c>
      <c r="M44" s="198" t="str">
        <f aca="false">IF(D44&lt;&gt;"",I134,"—")</f>
        <v>—</v>
      </c>
      <c r="N44" s="199" t="n">
        <f aca="false">IF(D44&lt;&gt;"",J134,"—")</f>
        <v>221.771317834685</v>
      </c>
      <c r="O44" s="200" t="str">
        <f aca="false">IF(ISNUMBER(K44),ROUND(K44*1000,0),"—")</f>
        <v>—</v>
      </c>
      <c r="P44" s="200" t="n">
        <f aca="false">IF(ISNUMBER(L44),LOOKUP(2,1/(ABS($AA$44:$AA$164-L44)=MIN(ABS($AA$44:$AA$164-L44))),$AA$44:$AA$164),"—")</f>
        <v>390</v>
      </c>
      <c r="Q44" s="200" t="str">
        <f aca="false">IF(ISNUMBER(M44),ROUND(M44*1000,0),"—")</f>
        <v>—</v>
      </c>
      <c r="R44" s="200" t="n">
        <f aca="false">IF(ISNUMBER(N44),LOOKUP(2,1/(ABS($AA$44:$AA$164-N44)=MIN(ABS($AA$44:$AA$164-N44))),$AA$44:$AA$164),"—")</f>
        <v>220</v>
      </c>
      <c r="S44" s="198" t="n">
        <f aca="false">IF(D44="","—",IFERROR((1+ABS(0.05*E18*$C$9/D18)/SQRT(4*$C$9^2+(0.05*E18*$C$9/D18)^2))/(1-ABS(0.05*E18*$C$9/D18)/SQRT(4*$C$9^2+(0.05*E18*$C$9/D18)^2)),"—"))</f>
        <v>1.05600233510661</v>
      </c>
      <c r="AA44" s="201" t="n">
        <v>1</v>
      </c>
    </row>
    <row r="45" customFormat="false" ht="13.5" hidden="false" customHeight="true" outlineLevel="0" collapsed="false">
      <c r="A45" s="1"/>
      <c r="B45" s="192" t="n">
        <v>2</v>
      </c>
      <c r="C45" s="177" t="n">
        <f aca="false">C19</f>
        <v>14.175</v>
      </c>
      <c r="D45" s="193" t="n">
        <f aca="false">D81</f>
        <v>1334.62541561294</v>
      </c>
      <c r="E45" s="194" t="n">
        <f aca="false">E81</f>
        <v>83.1146021498277</v>
      </c>
      <c r="F45" s="195" t="n">
        <f aca="false">D62</f>
        <v>1.78885438199983</v>
      </c>
      <c r="G45" s="178" t="n">
        <f aca="false">E62</f>
        <v>9</v>
      </c>
      <c r="H45" s="196" t="n">
        <f aca="false">F81</f>
        <v>70.5649302170891</v>
      </c>
      <c r="I45" s="197" t="n">
        <f aca="false">G81</f>
        <v>0.246197966474936</v>
      </c>
      <c r="J45" s="196" t="n">
        <f aca="false">I81</f>
        <v>94.488771679606</v>
      </c>
      <c r="K45" s="198" t="str">
        <f aca="false">IF(D45&lt;&gt;"",G135,"—")</f>
        <v>—</v>
      </c>
      <c r="L45" s="199" t="n">
        <f aca="false">IF(D45&lt;&gt;"",H135,"—")</f>
        <v>27.1163458331005</v>
      </c>
      <c r="M45" s="198" t="str">
        <f aca="false">IF(D45&lt;&gt;"",I135,"—")</f>
        <v>—</v>
      </c>
      <c r="N45" s="199" t="n">
        <f aca="false">IF(D45&lt;&gt;"",J135,"—")</f>
        <v>26.7266261439387</v>
      </c>
      <c r="O45" s="200" t="str">
        <f aca="false">IF(ISNUMBER(K45),ROUND(K45*1000,0),"—")</f>
        <v>—</v>
      </c>
      <c r="P45" s="200" t="n">
        <f aca="false">IF(ISNUMBER(L45),LOOKUP(2,1/(ABS($AA$44:$AA$164-L45)=MIN(ABS($AA$44:$AA$164-L45))),$AA$44:$AA$164),"—")</f>
        <v>27</v>
      </c>
      <c r="Q45" s="200" t="str">
        <f aca="false">IF(ISNUMBER(M45),ROUND(M45*1000,0),"—")</f>
        <v>—</v>
      </c>
      <c r="R45" s="200" t="n">
        <f aca="false">IF(ISNUMBER(N45),LOOKUP(2,1/(ABS($AA$44:$AA$164-N45)=MIN(ABS($AA$44:$AA$164-N45))),$AA$44:$AA$164),"—")</f>
        <v>27</v>
      </c>
      <c r="S45" s="198" t="n">
        <f aca="false">IF(D45="","—",IFERROR((1+ABS(0.05*E19*$C$9/D19)/SQRT(4*$C$9^2+(0.05*E19*$C$9/D19)^2))/(1-ABS(0.05*E19*$C$9/D19)/SQRT(4*$C$9^2+(0.05*E19*$C$9/D19)^2)),"—"))</f>
        <v>1.50856703580298</v>
      </c>
      <c r="AA45" s="201" t="n">
        <v>1.1</v>
      </c>
    </row>
    <row r="46" customFormat="false" ht="13.5" hidden="false" customHeight="true" outlineLevel="0" collapsed="false">
      <c r="A46" s="1"/>
      <c r="B46" s="192" t="n">
        <v>3</v>
      </c>
      <c r="C46" s="177" t="str">
        <f aca="false">C20</f>
        <v/>
      </c>
      <c r="D46" s="193" t="str">
        <f aca="false">D82</f>
        <v/>
      </c>
      <c r="E46" s="194" t="str">
        <f aca="false">E82</f>
        <v/>
      </c>
      <c r="F46" s="195" t="str">
        <f aca="false">D63</f>
        <v/>
      </c>
      <c r="G46" s="178" t="str">
        <f aca="false">E63</f>
        <v/>
      </c>
      <c r="H46" s="196" t="str">
        <f aca="false">F82</f>
        <v/>
      </c>
      <c r="I46" s="197" t="str">
        <f aca="false">G82</f>
        <v/>
      </c>
      <c r="J46" s="196" t="str">
        <f aca="false">I82</f>
        <v/>
      </c>
      <c r="K46" s="198" t="str">
        <f aca="false">IF(D46&lt;&gt;"",G136,"—")</f>
        <v>—</v>
      </c>
      <c r="L46" s="199" t="str">
        <f aca="false">IF(D46&lt;&gt;"",H136,"—")</f>
        <v>—</v>
      </c>
      <c r="M46" s="198" t="str">
        <f aca="false">IF(D46&lt;&gt;"",I136,"—")</f>
        <v>—</v>
      </c>
      <c r="N46" s="199" t="str">
        <f aca="false">IF(D46&lt;&gt;"",J136,"—")</f>
        <v>—</v>
      </c>
      <c r="O46" s="200" t="str">
        <f aca="false">IF(ISNUMBER(K46),ROUND(K46*1000,0),"—")</f>
        <v>—</v>
      </c>
      <c r="P46" s="200" t="str">
        <f aca="false">IF(ISNUMBER(L46),LOOKUP(2,1/(ABS($AA$44:$AA$164-L46)=MIN(ABS($AA$44:$AA$164-L46))),$AA$44:$AA$164),"—")</f>
        <v>—</v>
      </c>
      <c r="Q46" s="200" t="str">
        <f aca="false">IF(ISNUMBER(M46),ROUND(M46*1000,0),"—")</f>
        <v>—</v>
      </c>
      <c r="R46" s="200" t="str">
        <f aca="false">IF(ISNUMBER(N46),LOOKUP(2,1/(ABS($AA$44:$AA$164-N46)=MIN(ABS($AA$44:$AA$164-N46))),$AA$44:$AA$164),"—")</f>
        <v>—</v>
      </c>
      <c r="S46" s="198" t="str">
        <f aca="false">IF(D46="","—",IFERROR((1+ABS(0.05*E20*$C$9/D20)/SQRT(4*$C$9^2+(0.05*E20*$C$9/D20)^2))/(1-ABS(0.05*E20*$C$9/D20)/SQRT(4*$C$9^2+(0.05*E20*$C$9/D20)^2)),"—"))</f>
        <v>—</v>
      </c>
      <c r="AA46" s="201" t="n">
        <v>1.2</v>
      </c>
    </row>
    <row r="47" customFormat="false" ht="13.5" hidden="false" customHeight="true" outlineLevel="0" collapsed="false">
      <c r="A47" s="1"/>
      <c r="B47" s="192" t="n">
        <v>4</v>
      </c>
      <c r="C47" s="177" t="str">
        <f aca="false">C21</f>
        <v/>
      </c>
      <c r="D47" s="193" t="str">
        <f aca="false">D83</f>
        <v/>
      </c>
      <c r="E47" s="194" t="str">
        <f aca="false">E83</f>
        <v/>
      </c>
      <c r="F47" s="195" t="str">
        <f aca="false">D64</f>
        <v/>
      </c>
      <c r="G47" s="178" t="str">
        <f aca="false">E64</f>
        <v/>
      </c>
      <c r="H47" s="196" t="str">
        <f aca="false">F83</f>
        <v/>
      </c>
      <c r="I47" s="197" t="str">
        <f aca="false">G83</f>
        <v/>
      </c>
      <c r="J47" s="196" t="str">
        <f aca="false">I83</f>
        <v/>
      </c>
      <c r="K47" s="198" t="str">
        <f aca="false">IF(D47&lt;&gt;"",G137,"—")</f>
        <v>—</v>
      </c>
      <c r="L47" s="199" t="str">
        <f aca="false">IF(D47&lt;&gt;"",H137,"—")</f>
        <v>—</v>
      </c>
      <c r="M47" s="198" t="str">
        <f aca="false">IF(D47&lt;&gt;"",I137,"—")</f>
        <v>—</v>
      </c>
      <c r="N47" s="199" t="str">
        <f aca="false">IF(D47&lt;&gt;"",J137,"—")</f>
        <v>—</v>
      </c>
      <c r="O47" s="200" t="str">
        <f aca="false">IF(ISNUMBER(K47),ROUND(K47*1000,0),"—")</f>
        <v>—</v>
      </c>
      <c r="P47" s="200" t="str">
        <f aca="false">IF(ISNUMBER(L47),LOOKUP(2,1/(ABS($AA$44:$AA$164-L47)=MIN(ABS($AA$44:$AA$164-L47))),$AA$44:$AA$164),"—")</f>
        <v>—</v>
      </c>
      <c r="Q47" s="200" t="str">
        <f aca="false">IF(ISNUMBER(M47),ROUND(M47*1000,0),"—")</f>
        <v>—</v>
      </c>
      <c r="R47" s="200" t="str">
        <f aca="false">IF(ISNUMBER(N47),LOOKUP(2,1/(ABS($AA$44:$AA$164-N47)=MIN(ABS($AA$44:$AA$164-N47))),$AA$44:$AA$164),"—")</f>
        <v>—</v>
      </c>
      <c r="S47" s="198" t="str">
        <f aca="false">IF(D47="","—",IFERROR((1+ABS(0.05*E21*$C$9/D21)/SQRT(4*$C$9^2+(0.05*E21*$C$9/D21)^2))/(1-ABS(0.05*E21*$C$9/D21)/SQRT(4*$C$9^2+(0.05*E21*$C$9/D21)^2)),"—"))</f>
        <v>—</v>
      </c>
      <c r="AA47" s="201" t="n">
        <v>1.3</v>
      </c>
    </row>
    <row r="48" customFormat="false" ht="13.5" hidden="false" customHeight="true" outlineLevel="0" collapsed="false">
      <c r="A48" s="1"/>
      <c r="B48" s="192"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8" t="str">
        <f aca="false">IF(D48&lt;&gt;"",G138,"—")</f>
        <v>—</v>
      </c>
      <c r="L48" s="199" t="str">
        <f aca="false">IF(D48&lt;&gt;"",H138,"—")</f>
        <v>—</v>
      </c>
      <c r="M48" s="198" t="str">
        <f aca="false">IF(D48&lt;&gt;"",I138,"—")</f>
        <v>—</v>
      </c>
      <c r="N48" s="199" t="str">
        <f aca="false">IF(D48&lt;&gt;"",J138,"—")</f>
        <v>—</v>
      </c>
      <c r="O48" s="200" t="str">
        <f aca="false">IF(ISNUMBER(K48),ROUND(K48*1000,0),"—")</f>
        <v>—</v>
      </c>
      <c r="P48" s="200" t="str">
        <f aca="false">IF(ISNUMBER(L48),LOOKUP(2,1/(ABS($AA$44:$AA$164-L48)=MIN(ABS($AA$44:$AA$164-L48))),$AA$44:$AA$164),"—")</f>
        <v>—</v>
      </c>
      <c r="Q48" s="200" t="str">
        <f aca="false">IF(ISNUMBER(M48),ROUND(M48*1000,0),"—")</f>
        <v>—</v>
      </c>
      <c r="R48" s="200" t="str">
        <f aca="false">IF(ISNUMBER(N48),LOOKUP(2,1/(ABS($AA$44:$AA$164-N48)=MIN(ABS($AA$44:$AA$164-N48))),$AA$44:$AA$164),"—")</f>
        <v>—</v>
      </c>
      <c r="S48" s="198" t="str">
        <f aca="false">IF(D48="","—",IFERROR((1+ABS(0.05*E22*$C$9/D22)/SQRT(4*$C$9^2+(0.05*E22*$C$9/D22)^2))/(1-ABS(0.05*E22*$C$9/D22)/SQRT(4*$C$9^2+(0.05*E22*$C$9/D22)^2)),"—"))</f>
        <v>—</v>
      </c>
      <c r="AA48" s="201" t="n">
        <v>1.5</v>
      </c>
    </row>
    <row r="49" customFormat="false" ht="13.5" hidden="false" customHeight="true" outlineLevel="0" collapsed="false">
      <c r="A49" s="1"/>
      <c r="B49" s="192"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8" t="str">
        <f aca="false">IF(D49&lt;&gt;"",G139,"—")</f>
        <v>—</v>
      </c>
      <c r="L49" s="199" t="str">
        <f aca="false">IF(D49&lt;&gt;"",H139,"—")</f>
        <v>—</v>
      </c>
      <c r="M49" s="198" t="str">
        <f aca="false">IF(D49&lt;&gt;"",I139,"—")</f>
        <v>—</v>
      </c>
      <c r="N49" s="199" t="str">
        <f aca="false">IF(D49&lt;&gt;"",J139,"—")</f>
        <v>—</v>
      </c>
      <c r="O49" s="200" t="str">
        <f aca="false">IF(ISNUMBER(K49),ROUND(K49*1000,0),"—")</f>
        <v>—</v>
      </c>
      <c r="P49" s="200" t="str">
        <f aca="false">IF(ISNUMBER(L49),LOOKUP(2,1/(ABS($AA$44:$AA$164-L49)=MIN(ABS($AA$44:$AA$164-L49))),$AA$44:$AA$164),"—")</f>
        <v>—</v>
      </c>
      <c r="Q49" s="200" t="str">
        <f aca="false">IF(ISNUMBER(M49),ROUND(M49*1000,0),"—")</f>
        <v>—</v>
      </c>
      <c r="R49" s="200" t="str">
        <f aca="false">IF(ISNUMBER(N49),LOOKUP(2,1/(ABS($AA$44:$AA$164-N49)=MIN(ABS($AA$44:$AA$164-N49))),$AA$44:$AA$164),"—")</f>
        <v>—</v>
      </c>
      <c r="S49" s="198" t="str">
        <f aca="false">IF(D49="","—",IFERROR((1+ABS(0.05*E23*$C$9/D23)/SQRT(4*$C$9^2+(0.05*E23*$C$9/D23)^2))/(1-ABS(0.05*E23*$C$9/D23)/SQRT(4*$C$9^2+(0.05*E23*$C$9/D23)^2)),"—"))</f>
        <v>—</v>
      </c>
      <c r="AA49" s="201" t="n">
        <v>1.6</v>
      </c>
    </row>
    <row r="50" customFormat="false" ht="13.5" hidden="false" customHeight="true" outlineLevel="0" collapsed="false">
      <c r="A50" s="1"/>
      <c r="B50" s="192"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8" t="str">
        <f aca="false">IF(D50&lt;&gt;"",G140,"—")</f>
        <v>—</v>
      </c>
      <c r="L50" s="199" t="str">
        <f aca="false">IF(D50&lt;&gt;"",H140,"—")</f>
        <v>—</v>
      </c>
      <c r="M50" s="198" t="str">
        <f aca="false">IF(D50&lt;&gt;"",I140,"—")</f>
        <v>—</v>
      </c>
      <c r="N50" s="199" t="str">
        <f aca="false">IF(D50&lt;&gt;"",J140,"—")</f>
        <v>—</v>
      </c>
      <c r="O50" s="200" t="str">
        <f aca="false">IF(ISNUMBER(K50),ROUND(K50*1000,0),"—")</f>
        <v>—</v>
      </c>
      <c r="P50" s="200" t="str">
        <f aca="false">IF(ISNUMBER(L50),LOOKUP(2,1/(ABS($AA$44:$AA$164-L50)=MIN(ABS($AA$44:$AA$164-L50))),$AA$44:$AA$164),"—")</f>
        <v>—</v>
      </c>
      <c r="Q50" s="200" t="str">
        <f aca="false">IF(ISNUMBER(M50),ROUND(M50*1000,0),"—")</f>
        <v>—</v>
      </c>
      <c r="R50" s="200" t="str">
        <f aca="false">IF(ISNUMBER(N50),LOOKUP(2,1/(ABS($AA$44:$AA$164-N50)=MIN(ABS($AA$44:$AA$164-N50))),$AA$44:$AA$164),"—")</f>
        <v>—</v>
      </c>
      <c r="S50" s="198" t="str">
        <f aca="false">IF(D50="","—",IFERROR((1+ABS(0.05*E24*$C$9/D24)/SQRT(4*$C$9^2+(0.05*E24*$C$9/D24)^2))/(1-ABS(0.05*E24*$C$9/D24)/SQRT(4*$C$9^2+(0.05*E24*$C$9/D24)^2)),"—"))</f>
        <v>—</v>
      </c>
      <c r="AA50" s="201" t="n">
        <v>1.8</v>
      </c>
    </row>
    <row r="51" customFormat="false" ht="13.5" hidden="false" customHeight="true" outlineLevel="0" collapsed="false">
      <c r="A51" s="1"/>
      <c r="B51" s="192"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8" t="str">
        <f aca="false">IF(D51&lt;&gt;"",G141,"—")</f>
        <v>—</v>
      </c>
      <c r="L51" s="199" t="str">
        <f aca="false">IF(D51&lt;&gt;"",H141,"—")</f>
        <v>—</v>
      </c>
      <c r="M51" s="198" t="str">
        <f aca="false">IF(D51&lt;&gt;"",I141,"—")</f>
        <v>—</v>
      </c>
      <c r="N51" s="199" t="str">
        <f aca="false">IF(D51&lt;&gt;"",J141,"—")</f>
        <v>—</v>
      </c>
      <c r="O51" s="200" t="str">
        <f aca="false">IF(ISNUMBER(K51),ROUND(K51*1000,0),"—")</f>
        <v>—</v>
      </c>
      <c r="P51" s="200" t="str">
        <f aca="false">IF(ISNUMBER(L51),LOOKUP(2,1/(ABS($AA$44:$AA$164-L51)=MIN(ABS($AA$44:$AA$164-L51))),$AA$44:$AA$164),"—")</f>
        <v>—</v>
      </c>
      <c r="Q51" s="200" t="str">
        <f aca="false">IF(ISNUMBER(M51),ROUND(M51*1000,0),"—")</f>
        <v>—</v>
      </c>
      <c r="R51" s="200" t="str">
        <f aca="false">IF(ISNUMBER(N51),LOOKUP(2,1/(ABS($AA$44:$AA$164-N51)=MIN(ABS($AA$44:$AA$164-N51))),$AA$44:$AA$164),"—")</f>
        <v>—</v>
      </c>
      <c r="S51" s="198" t="str">
        <f aca="false">IF(D51="","—",IFERROR((1+ABS(0.05*E25*$C$9/D25)/SQRT(4*$C$9^2+(0.05*E25*$C$9/D25)^2))/(1-ABS(0.05*E25*$C$9/D25)/SQRT(4*$C$9^2+(0.05*E25*$C$9/D25)^2)),"—"))</f>
        <v>—</v>
      </c>
      <c r="AA51" s="201" t="n">
        <v>2</v>
      </c>
    </row>
    <row r="52" customFormat="false" ht="13.5" hidden="false" customHeight="true" outlineLevel="0" collapsed="false">
      <c r="A52" s="1"/>
      <c r="B52" s="192"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8" t="str">
        <f aca="false">IF(D52&lt;&gt;"",G142,"—")</f>
        <v>—</v>
      </c>
      <c r="L52" s="199" t="str">
        <f aca="false">IF(D52&lt;&gt;"",H142,"—")</f>
        <v>—</v>
      </c>
      <c r="M52" s="198" t="str">
        <f aca="false">IF(D52&lt;&gt;"",I142,"—")</f>
        <v>—</v>
      </c>
      <c r="N52" s="199" t="str">
        <f aca="false">IF(D52&lt;&gt;"",J142,"—")</f>
        <v>—</v>
      </c>
      <c r="O52" s="200" t="str">
        <f aca="false">IF(ISNUMBER(K52),ROUND(K52*1000,0),"—")</f>
        <v>—</v>
      </c>
      <c r="P52" s="200" t="str">
        <f aca="false">IF(ISNUMBER(L52),LOOKUP(2,1/(ABS($AA$44:$AA$164-L52)=MIN(ABS($AA$44:$AA$164-L52))),$AA$44:$AA$164),"—")</f>
        <v>—</v>
      </c>
      <c r="Q52" s="200" t="str">
        <f aca="false">IF(ISNUMBER(M52),ROUND(M52*1000,0),"—")</f>
        <v>—</v>
      </c>
      <c r="R52" s="200" t="str">
        <f aca="false">IF(ISNUMBER(N52),LOOKUP(2,1/(ABS($AA$44:$AA$164-N52)=MIN(ABS($AA$44:$AA$164-N52))),$AA$44:$AA$164),"—")</f>
        <v>—</v>
      </c>
      <c r="S52" s="198" t="str">
        <f aca="false">IF(D52="","—",IFERROR((1+ABS(0.05*E26*$C$9/D26)/SQRT(4*$C$9^2+(0.05*E26*$C$9/D26)^2))/(1-ABS(0.05*E26*$C$9/D26)/SQRT(4*$C$9^2+(0.05*E26*$C$9/D26)^2)),"—"))</f>
        <v>—</v>
      </c>
      <c r="AA52" s="201" t="n">
        <v>2.2</v>
      </c>
    </row>
    <row r="53" customFormat="false" ht="13.5" hidden="false" customHeight="true" outlineLevel="0" collapsed="false">
      <c r="A53" s="1"/>
      <c r="B53" s="192"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8" t="str">
        <f aca="false">IF(D53&lt;&gt;"",G143,"—")</f>
        <v>—</v>
      </c>
      <c r="L53" s="199" t="str">
        <f aca="false">IF(D53&lt;&gt;"",H143,"—")</f>
        <v>—</v>
      </c>
      <c r="M53" s="198" t="str">
        <f aca="false">IF(D53&lt;&gt;"",I143,"—")</f>
        <v>—</v>
      </c>
      <c r="N53" s="199" t="str">
        <f aca="false">IF(D53&lt;&gt;"",J143,"—")</f>
        <v>—</v>
      </c>
      <c r="O53" s="200" t="str">
        <f aca="false">IF(ISNUMBER(K53),ROUND(K53*1000,0),"—")</f>
        <v>—</v>
      </c>
      <c r="P53" s="200" t="str">
        <f aca="false">IF(ISNUMBER(L53),LOOKUP(2,1/(ABS($AA$44:$AA$164-L53)=MIN(ABS($AA$44:$AA$164-L53))),$AA$44:$AA$164),"—")</f>
        <v>—</v>
      </c>
      <c r="Q53" s="200" t="str">
        <f aca="false">IF(ISNUMBER(M53),ROUND(M53*1000,0),"—")</f>
        <v>—</v>
      </c>
      <c r="R53" s="200" t="str">
        <f aca="false">IF(ISNUMBER(N53),LOOKUP(2,1/(ABS($AA$44:$AA$164-N53)=MIN(ABS($AA$44:$AA$164-N53))),$AA$44:$AA$164),"—")</f>
        <v>—</v>
      </c>
      <c r="S53" s="198" t="str">
        <f aca="false">IF(D53="","—",IFERROR((1+ABS(0.05*E27*$C$9/D27)/SQRT(4*$C$9^2+(0.05*E27*$C$9/D27)^2))/(1-ABS(0.05*E27*$C$9/D27)/SQRT(4*$C$9^2+(0.05*E27*$C$9/D27)^2)),"—"))</f>
        <v>—</v>
      </c>
      <c r="AA53" s="201" t="n">
        <v>2.4</v>
      </c>
    </row>
    <row r="54" customFormat="false" ht="13.5" hidden="false" customHeight="true" outlineLevel="0" collapsed="false">
      <c r="A54" s="1"/>
      <c r="B54" s="192"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8" t="str">
        <f aca="false">IF(D54&lt;&gt;"",G144,"—")</f>
        <v>—</v>
      </c>
      <c r="L54" s="199" t="str">
        <f aca="false">IF(D54&lt;&gt;"",H144,"—")</f>
        <v>—</v>
      </c>
      <c r="M54" s="198" t="str">
        <f aca="false">IF(D54&lt;&gt;"",I144,"—")</f>
        <v>—</v>
      </c>
      <c r="N54" s="199" t="str">
        <f aca="false">IF(D54&lt;&gt;"",J144,"—")</f>
        <v>—</v>
      </c>
      <c r="O54" s="200" t="str">
        <f aca="false">IF(ISNUMBER(K54),ROUND(K54*1000,0),"—")</f>
        <v>—</v>
      </c>
      <c r="P54" s="200" t="str">
        <f aca="false">IF(ISNUMBER(L54),LOOKUP(2,1/(ABS($AA$44:$AA$164-L54)=MIN(ABS($AA$44:$AA$164-L54))),$AA$44:$AA$164),"—")</f>
        <v>—</v>
      </c>
      <c r="Q54" s="200" t="str">
        <f aca="false">IF(ISNUMBER(M54),ROUND(M54*1000,0),"—")</f>
        <v>—</v>
      </c>
      <c r="R54" s="200" t="str">
        <f aca="false">IF(ISNUMBER(N54),LOOKUP(2,1/(ABS($AA$44:$AA$164-N54)=MIN(ABS($AA$44:$AA$164-N54))),$AA$44:$AA$164),"—")</f>
        <v>—</v>
      </c>
      <c r="S54" s="198" t="str">
        <f aca="false">IF(D54="","—",IFERROR((1+ABS(0.05*E28*$C$9/D28)/SQRT(4*$C$9^2+(0.05*E28*$C$9/D28)^2))/(1-ABS(0.05*E28*$C$9/D28)/SQRT(4*$C$9^2+(0.05*E28*$C$9/D28)^2)),"—"))</f>
        <v>—</v>
      </c>
      <c r="AA54" s="201" t="n">
        <v>2.7</v>
      </c>
    </row>
    <row r="55" customFormat="false" ht="12.75" hidden="false" customHeight="true" outlineLevel="0" collapsed="false">
      <c r="A55" s="1"/>
      <c r="B55" s="1"/>
      <c r="C55" s="1"/>
      <c r="D55" s="1"/>
      <c r="E55" s="1"/>
      <c r="F55" s="1"/>
      <c r="G55" s="1"/>
      <c r="H55" s="1"/>
      <c r="I55" s="1"/>
      <c r="J55" s="1"/>
      <c r="AA55" s="201" t="n">
        <v>3</v>
      </c>
    </row>
    <row r="56" customFormat="false" ht="13.5" hidden="false" customHeight="true" outlineLevel="0" collapsed="false">
      <c r="A56" s="1"/>
      <c r="B56" s="169" t="s">
        <v>286</v>
      </c>
      <c r="C56" s="169"/>
      <c r="D56" s="169"/>
      <c r="E56" s="169"/>
      <c r="F56" s="169"/>
      <c r="G56" s="169"/>
      <c r="H56" s="169"/>
      <c r="I56" s="169"/>
      <c r="J56" s="181"/>
      <c r="AA56" s="201" t="n">
        <v>3.3</v>
      </c>
    </row>
    <row r="57" customFormat="false" ht="13.5" hidden="false" customHeight="true" outlineLevel="0" collapsed="false">
      <c r="A57" s="1"/>
      <c r="B57" s="186" t="s">
        <v>287</v>
      </c>
      <c r="C57" s="186"/>
      <c r="D57" s="186"/>
      <c r="E57" s="186"/>
      <c r="F57" s="186"/>
      <c r="G57" s="186"/>
      <c r="H57" s="186"/>
      <c r="I57" s="186"/>
      <c r="J57" s="181"/>
      <c r="AA57" s="201" t="n">
        <v>3.6</v>
      </c>
    </row>
    <row r="58" customFormat="false" ht="12.75" hidden="false" customHeight="true" outlineLevel="0" collapsed="false">
      <c r="A58" s="1"/>
      <c r="B58" s="1"/>
      <c r="C58" s="1"/>
      <c r="D58" s="1"/>
      <c r="E58" s="1"/>
      <c r="F58" s="1"/>
      <c r="G58" s="1"/>
      <c r="H58" s="1"/>
      <c r="I58" s="1"/>
      <c r="J58" s="1"/>
      <c r="AA58" s="201" t="n">
        <v>3.9</v>
      </c>
    </row>
    <row r="59" customFormat="false" ht="13.5" hidden="false" customHeight="true" outlineLevel="0" collapsed="false">
      <c r="A59" s="1"/>
      <c r="B59" s="170" t="s">
        <v>288</v>
      </c>
      <c r="C59" s="170"/>
      <c r="D59" s="170"/>
      <c r="E59" s="170"/>
      <c r="F59" s="170"/>
      <c r="G59" s="170"/>
      <c r="H59" s="170"/>
      <c r="I59" s="170"/>
      <c r="J59" s="181"/>
      <c r="AA59" s="201" t="n">
        <v>4.3</v>
      </c>
    </row>
    <row r="60" customFormat="false" ht="50.25" hidden="false" customHeight="true" outlineLevel="0" collapsed="false">
      <c r="A60" s="1"/>
      <c r="B60" s="171" t="s">
        <v>252</v>
      </c>
      <c r="C60" s="171" t="s">
        <v>268</v>
      </c>
      <c r="D60" s="171" t="s">
        <v>289</v>
      </c>
      <c r="E60" s="171" t="s">
        <v>290</v>
      </c>
      <c r="F60" s="171" t="s">
        <v>291</v>
      </c>
      <c r="G60" s="171" t="s">
        <v>292</v>
      </c>
      <c r="H60" s="171" t="s">
        <v>293</v>
      </c>
      <c r="I60" s="171" t="s">
        <v>294</v>
      </c>
      <c r="J60" s="181"/>
      <c r="AA60" s="201" t="n">
        <v>4.7</v>
      </c>
    </row>
    <row r="61" customFormat="false" ht="13.5" hidden="false" customHeight="true" outlineLevel="0" collapsed="false">
      <c r="A61" s="1"/>
      <c r="B61" s="177" t="n">
        <v>1</v>
      </c>
      <c r="C61" s="177" t="n">
        <f aca="false">C18</f>
        <v>7.15</v>
      </c>
      <c r="D61" s="195" t="n">
        <f aca="false">IF(D18&lt;&gt;"",SQRT(D18/MAX($C$9,0.000000001)),"")</f>
        <v>4.9457052075513</v>
      </c>
      <c r="E61" s="178" t="n">
        <f aca="false">IF(D61&lt;&gt;"",MAX(1,ROUND(C13*D61,0)),"")</f>
        <v>25</v>
      </c>
      <c r="F61" s="178" t="n">
        <f aca="false">IF(E61&lt;&gt;"",E61,"")</f>
        <v>25</v>
      </c>
      <c r="G61" s="188" t="n">
        <f aca="false">IF(F61&lt;&gt;"",F61*PI()*($C$11+$C$10),"")</f>
        <v>4005.53063332699</v>
      </c>
      <c r="H61" s="193" t="n">
        <f aca="false">IF(G61&lt;&gt;"",G61*4*0.00000001724*1000000/(PI()*$C$10^2),"")</f>
        <v>87.924</v>
      </c>
      <c r="I61" s="188" t="n">
        <f aca="false">IF(G61&lt;&gt;"",G61,"")</f>
        <v>4005.53063332699</v>
      </c>
      <c r="J61" s="75"/>
      <c r="AA61" s="201" t="n">
        <v>5.1</v>
      </c>
    </row>
    <row r="62" customFormat="false" ht="13.5" hidden="false" customHeight="true" outlineLevel="0" collapsed="false">
      <c r="A62" s="1"/>
      <c r="B62" s="177" t="n">
        <v>2</v>
      </c>
      <c r="C62" s="177" t="n">
        <f aca="false">C19</f>
        <v>14.175</v>
      </c>
      <c r="D62" s="195" t="n">
        <f aca="false">IF(D19&lt;&gt;"",SQRT(D19/MAX($C$9,0.000000001)),"")</f>
        <v>1.78885438199983</v>
      </c>
      <c r="E62" s="178" t="n">
        <f aca="false">IF(D62&lt;&gt;"",MAX(1,ROUND(C13*D62,0)),"")</f>
        <v>9</v>
      </c>
      <c r="F62" s="178" t="n">
        <f aca="false">IF(AND(E62&lt;&gt;"",E61&lt;&gt;""),E62-E61,IF(E62&lt;&gt;"",E62,""))</f>
        <v>-16</v>
      </c>
      <c r="G62" s="188" t="n">
        <f aca="false">IF(F62&lt;&gt;"",F62*PI()*($C$11+$C$10),"")</f>
        <v>-2563.53960532927</v>
      </c>
      <c r="H62" s="193" t="n">
        <f aca="false">IF(G62&lt;&gt;"",G62*4*0.00000001724*1000000/(PI()*$C$10^2),"")</f>
        <v>-56.27136</v>
      </c>
      <c r="I62" s="188" t="n">
        <f aca="false">IF(G62&lt;&gt;"",SUM(G61:G62),"")</f>
        <v>1441.99102799772</v>
      </c>
      <c r="J62" s="75"/>
      <c r="AA62" s="201" t="n">
        <v>5.6</v>
      </c>
    </row>
    <row r="63" customFormat="false" ht="13.5" hidden="false" customHeight="true" outlineLevel="0" collapsed="false">
      <c r="A63" s="1"/>
      <c r="B63" s="177" t="n">
        <v>3</v>
      </c>
      <c r="C63" s="177" t="str">
        <f aca="false">C20</f>
        <v/>
      </c>
      <c r="D63" s="195" t="str">
        <f aca="false">IF(D20&lt;&gt;"",SQRT(D20/MAX($C$9,0.000000001)),"")</f>
        <v/>
      </c>
      <c r="E63" s="178" t="str">
        <f aca="false">IF(D63&lt;&gt;"",MAX(1,ROUND(C13*D63,0)),"")</f>
        <v/>
      </c>
      <c r="F63" s="178" t="str">
        <f aca="false">IF(AND(E63&lt;&gt;"",E62&lt;&gt;""),E63-E62,IF(E63&lt;&gt;"",E63,""))</f>
        <v/>
      </c>
      <c r="G63" s="188" t="str">
        <f aca="false">IF(F63&lt;&gt;"",F63*PI()*($C$11+$C$10),"")</f>
        <v/>
      </c>
      <c r="H63" s="193" t="str">
        <f aca="false">IF(G63&lt;&gt;"",G63*4*0.00000001724*1000000/(PI()*$C$10^2),"")</f>
        <v/>
      </c>
      <c r="I63" s="188" t="str">
        <f aca="false">IF(G63&lt;&gt;"",SUM(G61:G63),"")</f>
        <v/>
      </c>
      <c r="J63" s="75"/>
      <c r="AA63" s="201" t="n">
        <v>6.2</v>
      </c>
    </row>
    <row r="64" customFormat="false" ht="13.5" hidden="false" customHeight="true" outlineLevel="0" collapsed="false">
      <c r="A64" s="1"/>
      <c r="B64" s="177" t="n">
        <v>4</v>
      </c>
      <c r="C64" s="177" t="str">
        <f aca="false">C21</f>
        <v/>
      </c>
      <c r="D64" s="195" t="str">
        <f aca="false">IF(D21&lt;&gt;"",SQRT(D21/MAX($C$9,0.000000001)),"")</f>
        <v/>
      </c>
      <c r="E64" s="178" t="str">
        <f aca="false">IF(D64&lt;&gt;"",MAX(1,ROUND(C13*D64,0)),"")</f>
        <v/>
      </c>
      <c r="F64" s="178" t="str">
        <f aca="false">IF(AND(E64&lt;&gt;"",E63&lt;&gt;""),E64-E63,IF(E64&lt;&gt;"",E64,""))</f>
        <v/>
      </c>
      <c r="G64" s="188" t="str">
        <f aca="false">IF(F64&lt;&gt;"",F64*PI()*($C$11+$C$10),"")</f>
        <v/>
      </c>
      <c r="H64" s="193" t="str">
        <f aca="false">IF(G64&lt;&gt;"",G64*4*0.00000001724*1000000/(PI()*$C$10^2),"")</f>
        <v/>
      </c>
      <c r="I64" s="188" t="str">
        <f aca="false">IF(G64&lt;&gt;"",SUM(G61:G64),"")</f>
        <v/>
      </c>
      <c r="J64" s="75"/>
      <c r="AA64" s="201" t="n">
        <v>6.8</v>
      </c>
    </row>
    <row r="65" customFormat="false" ht="13.5" hidden="false" customHeight="true" outlineLevel="0" collapsed="false">
      <c r="A65" s="1"/>
      <c r="B65" s="177" t="n">
        <v>5</v>
      </c>
      <c r="C65" s="177" t="str">
        <f aca="false">C22</f>
        <v/>
      </c>
      <c r="D65" s="195" t="str">
        <f aca="false">IF(D22&lt;&gt;"",SQRT(D22/MAX($C$9,0.000000001)),"")</f>
        <v/>
      </c>
      <c r="E65" s="178" t="str">
        <f aca="false">IF(D65&lt;&gt;"",MAX(1,ROUND(C13*D65,0)),"")</f>
        <v/>
      </c>
      <c r="F65" s="178" t="str">
        <f aca="false">IF(AND(E65&lt;&gt;"",E64&lt;&gt;""),E65-E64,IF(E65&lt;&gt;"",E65,""))</f>
        <v/>
      </c>
      <c r="G65" s="188" t="str">
        <f aca="false">IF(F65&lt;&gt;"",F65*PI()*($C$11+$C$10),"")</f>
        <v/>
      </c>
      <c r="H65" s="193" t="str">
        <f aca="false">IF(G65&lt;&gt;"",G65*4*0.00000001724*1000000/(PI()*$C$10^2),"")</f>
        <v/>
      </c>
      <c r="I65" s="188" t="str">
        <f aca="false">IF(G65&lt;&gt;"",SUM(G61:G65),"")</f>
        <v/>
      </c>
      <c r="J65" s="75"/>
      <c r="AA65" s="201" t="n">
        <v>7.5</v>
      </c>
    </row>
    <row r="66" customFormat="false" ht="13.5" hidden="false" customHeight="true" outlineLevel="0" collapsed="false">
      <c r="A66" s="1"/>
      <c r="B66" s="177" t="n">
        <v>6</v>
      </c>
      <c r="C66" s="177" t="str">
        <f aca="false">C23</f>
        <v/>
      </c>
      <c r="D66" s="195" t="str">
        <f aca="false">IF(D23&lt;&gt;"",SQRT(D23/MAX($C$9,0.000000001)),"")</f>
        <v/>
      </c>
      <c r="E66" s="178" t="str">
        <f aca="false">IF(D66&lt;&gt;"",MAX(1,ROUND(C13*D66,0)),"")</f>
        <v/>
      </c>
      <c r="F66" s="178" t="str">
        <f aca="false">IF(AND(E66&lt;&gt;"",E65&lt;&gt;""),E66-E65,IF(E66&lt;&gt;"",E66,""))</f>
        <v/>
      </c>
      <c r="G66" s="188" t="str">
        <f aca="false">IF(F66&lt;&gt;"",F66*PI()*($C$11+$C$10),"")</f>
        <v/>
      </c>
      <c r="H66" s="193" t="str">
        <f aca="false">IF(G66&lt;&gt;"",G66*4*0.00000001724*1000000/(PI()*$C$10^2),"")</f>
        <v/>
      </c>
      <c r="I66" s="188" t="str">
        <f aca="false">IF(G66&lt;&gt;"",SUM(G61:G66),"")</f>
        <v/>
      </c>
      <c r="J66" s="75"/>
      <c r="AA66" s="201" t="n">
        <v>8.2</v>
      </c>
    </row>
    <row r="67" customFormat="false" ht="13.5" hidden="false" customHeight="true" outlineLevel="0" collapsed="false">
      <c r="A67" s="1"/>
      <c r="B67" s="177" t="n">
        <v>7</v>
      </c>
      <c r="C67" s="177" t="str">
        <f aca="false">C24</f>
        <v/>
      </c>
      <c r="D67" s="195" t="str">
        <f aca="false">IF(D24&lt;&gt;"",SQRT(D24/MAX($C$9,0.000000001)),"")</f>
        <v/>
      </c>
      <c r="E67" s="178" t="str">
        <f aca="false">IF(D67&lt;&gt;"",MAX(1,ROUND(C13*D67,0)),"")</f>
        <v/>
      </c>
      <c r="F67" s="178" t="str">
        <f aca="false">IF(AND(E67&lt;&gt;"",E66&lt;&gt;""),E67-E66,IF(E67&lt;&gt;"",E67,""))</f>
        <v/>
      </c>
      <c r="G67" s="188" t="str">
        <f aca="false">IF(F67&lt;&gt;"",F67*PI()*($C$11+$C$10),"")</f>
        <v/>
      </c>
      <c r="H67" s="193" t="str">
        <f aca="false">IF(G67&lt;&gt;"",G67*4*0.00000001724*1000000/(PI()*$C$10^2),"")</f>
        <v/>
      </c>
      <c r="I67" s="188" t="str">
        <f aca="false">IF(G67&lt;&gt;"",SUM(G61:G67),"")</f>
        <v/>
      </c>
      <c r="J67" s="75"/>
      <c r="AA67" s="201" t="n">
        <v>9.1</v>
      </c>
    </row>
    <row r="68" customFormat="false" ht="13.5" hidden="false" customHeight="true" outlineLevel="0" collapsed="false">
      <c r="A68" s="1"/>
      <c r="B68" s="177" t="n">
        <v>8</v>
      </c>
      <c r="C68" s="177" t="str">
        <f aca="false">C25</f>
        <v/>
      </c>
      <c r="D68" s="195" t="str">
        <f aca="false">IF(D25&lt;&gt;"",SQRT(D25/MAX($C$9,0.000000001)),"")</f>
        <v/>
      </c>
      <c r="E68" s="178" t="str">
        <f aca="false">IF(D68&lt;&gt;"",MAX(1,ROUND(C13*D68,0)),"")</f>
        <v/>
      </c>
      <c r="F68" s="178" t="str">
        <f aca="false">IF(AND(E68&lt;&gt;"",E67&lt;&gt;""),E68-E67,IF(E68&lt;&gt;"",E68,""))</f>
        <v/>
      </c>
      <c r="G68" s="188" t="str">
        <f aca="false">IF(F68&lt;&gt;"",F68*PI()*($C$11+$C$10),"")</f>
        <v/>
      </c>
      <c r="H68" s="193" t="str">
        <f aca="false">IF(G68&lt;&gt;"",G68*4*0.00000001724*1000000/(PI()*$C$10^2),"")</f>
        <v/>
      </c>
      <c r="I68" s="188" t="str">
        <f aca="false">IF(G68&lt;&gt;"",SUM(G61:G68),"")</f>
        <v/>
      </c>
      <c r="J68" s="75"/>
      <c r="AA68" s="201" t="n">
        <v>10</v>
      </c>
    </row>
    <row r="69" customFormat="false" ht="13.5" hidden="false" customHeight="true" outlineLevel="0" collapsed="false">
      <c r="A69" s="1"/>
      <c r="B69" s="177" t="n">
        <v>9</v>
      </c>
      <c r="C69" s="177" t="str">
        <f aca="false">C26</f>
        <v/>
      </c>
      <c r="D69" s="195" t="str">
        <f aca="false">IF(D26&lt;&gt;"",SQRT(D26/MAX($C$9,0.000000001)),"")</f>
        <v/>
      </c>
      <c r="E69" s="178" t="str">
        <f aca="false">IF(D69&lt;&gt;"",MAX(1,ROUND(C13*D69,0)),"")</f>
        <v/>
      </c>
      <c r="F69" s="178" t="str">
        <f aca="false">IF(AND(E69&lt;&gt;"",E68&lt;&gt;""),E69-E68,IF(E69&lt;&gt;"",E69,""))</f>
        <v/>
      </c>
      <c r="G69" s="188" t="str">
        <f aca="false">IF(F69&lt;&gt;"",F69*PI()*($C$11+$C$10),"")</f>
        <v/>
      </c>
      <c r="H69" s="193" t="str">
        <f aca="false">IF(G69&lt;&gt;"",G69*4*0.00000001724*1000000/(PI()*$C$10^2),"")</f>
        <v/>
      </c>
      <c r="I69" s="188" t="str">
        <f aca="false">IF(G69&lt;&gt;"",SUM(G61:G69),"")</f>
        <v/>
      </c>
      <c r="J69" s="75"/>
      <c r="AA69" s="201" t="n">
        <v>11</v>
      </c>
    </row>
    <row r="70" customFormat="false" ht="13.5" hidden="false" customHeight="true" outlineLevel="0" collapsed="false">
      <c r="A70" s="1"/>
      <c r="B70" s="177" t="n">
        <v>10</v>
      </c>
      <c r="C70" s="177" t="str">
        <f aca="false">C27</f>
        <v/>
      </c>
      <c r="D70" s="195" t="str">
        <f aca="false">IF(D27&lt;&gt;"",SQRT(D27/MAX($C$9,0.000000001)),"")</f>
        <v/>
      </c>
      <c r="E70" s="178" t="str">
        <f aca="false">IF(D70&lt;&gt;"",MAX(1,ROUND(C13*D70,0)),"")</f>
        <v/>
      </c>
      <c r="F70" s="178" t="str">
        <f aca="false">IF(AND(E70&lt;&gt;"",E69&lt;&gt;""),E70-E69,IF(E70&lt;&gt;"",E70,""))</f>
        <v/>
      </c>
      <c r="G70" s="188" t="str">
        <f aca="false">IF(F70&lt;&gt;"",F70*PI()*($C$11+$C$10),"")</f>
        <v/>
      </c>
      <c r="H70" s="193" t="str">
        <f aca="false">IF(G70&lt;&gt;"",G70*4*0.00000001724*1000000/(PI()*$C$10^2),"")</f>
        <v/>
      </c>
      <c r="I70" s="188" t="str">
        <f aca="false">IF(G70&lt;&gt;"",SUM(G61:G70),"")</f>
        <v/>
      </c>
      <c r="J70" s="75"/>
      <c r="AA70" s="201" t="n">
        <v>12</v>
      </c>
    </row>
    <row r="71" customFormat="false" ht="13.5" hidden="false" customHeight="true" outlineLevel="0" collapsed="false">
      <c r="A71" s="1"/>
      <c r="B71" s="177" t="n">
        <v>11</v>
      </c>
      <c r="C71" s="177" t="str">
        <f aca="false">C28</f>
        <v/>
      </c>
      <c r="D71" s="195" t="str">
        <f aca="false">IF(D28&lt;&gt;"",SQRT(D28/MAX($C$9,0.000000001)),"")</f>
        <v/>
      </c>
      <c r="E71" s="178" t="str">
        <f aca="false">IF(D71&lt;&gt;"",MAX(1,ROUND(C13*D71,0)),"")</f>
        <v/>
      </c>
      <c r="F71" s="178" t="str">
        <f aca="false">IF(AND(E71&lt;&gt;"",E70&lt;&gt;""),E71-E70,IF(E71&lt;&gt;"",E71,""))</f>
        <v/>
      </c>
      <c r="G71" s="188" t="str">
        <f aca="false">IF(F71&lt;&gt;"",F71*PI()*($C$11+$C$10),"")</f>
        <v/>
      </c>
      <c r="H71" s="193" t="str">
        <f aca="false">IF(G71&lt;&gt;"",G71*4*0.00000001724*1000000/(PI()*$C$10^2),"")</f>
        <v/>
      </c>
      <c r="I71" s="188" t="str">
        <f aca="false">IF(G71&lt;&gt;"",SUM(G61:G71),"")</f>
        <v/>
      </c>
      <c r="J71" s="75"/>
      <c r="AA71" s="201" t="n">
        <v>13</v>
      </c>
    </row>
    <row r="72" customFormat="false" ht="12.75" hidden="false" customHeight="true" outlineLevel="0" collapsed="false">
      <c r="A72" s="1"/>
      <c r="B72" s="1"/>
      <c r="C72" s="1"/>
      <c r="D72" s="1"/>
      <c r="E72" s="1"/>
      <c r="F72" s="1"/>
      <c r="G72" s="1"/>
      <c r="H72" s="1"/>
      <c r="I72" s="1"/>
      <c r="J72" s="1"/>
      <c r="AA72" s="201" t="n">
        <v>15</v>
      </c>
    </row>
    <row r="73" customFormat="false" ht="13.5" hidden="false" customHeight="true" outlineLevel="0" collapsed="false">
      <c r="A73" s="1"/>
      <c r="B73" s="202" t="s">
        <v>295</v>
      </c>
      <c r="C73" s="202"/>
      <c r="D73" s="202"/>
      <c r="E73" s="178" t="n">
        <f aca="false">IFERROR(MAX(E61:E71),"")</f>
        <v>25</v>
      </c>
      <c r="F73" s="1"/>
      <c r="G73" s="1"/>
      <c r="H73" s="203" t="n">
        <f aca="false">IFERROR(SUM(H61:H71),"")</f>
        <v>31.65264</v>
      </c>
      <c r="I73" s="204" t="n">
        <f aca="false">IFERROR(MAX(I61:I71),"")</f>
        <v>4005.53063332699</v>
      </c>
      <c r="J73" s="1"/>
      <c r="AA73" s="201" t="n">
        <v>16</v>
      </c>
    </row>
    <row r="74" customFormat="false" ht="12.75" hidden="false" customHeight="true" outlineLevel="0" collapsed="false">
      <c r="A74" s="1"/>
      <c r="B74" s="1"/>
      <c r="C74" s="1"/>
      <c r="D74" s="1"/>
      <c r="E74" s="1"/>
      <c r="F74" s="1"/>
      <c r="G74" s="1"/>
      <c r="H74" s="1"/>
      <c r="I74" s="1"/>
      <c r="J74" s="1"/>
      <c r="AA74" s="201" t="n">
        <v>18</v>
      </c>
    </row>
    <row r="75" customFormat="false" ht="13.5" hidden="false" customHeight="true" outlineLevel="0" collapsed="false">
      <c r="A75" s="1"/>
      <c r="B75" s="169" t="s">
        <v>296</v>
      </c>
      <c r="C75" s="169"/>
      <c r="D75" s="169"/>
      <c r="E75" s="169"/>
      <c r="F75" s="169"/>
      <c r="G75" s="169"/>
      <c r="H75" s="169"/>
      <c r="I75" s="169"/>
      <c r="J75" s="1"/>
      <c r="AA75" s="201" t="n">
        <v>20</v>
      </c>
    </row>
    <row r="76" customFormat="false" ht="13.5" hidden="false" customHeight="true" outlineLevel="0" collapsed="false">
      <c r="A76" s="1"/>
      <c r="B76" s="186" t="s">
        <v>297</v>
      </c>
      <c r="C76" s="186"/>
      <c r="D76" s="186"/>
      <c r="E76" s="186"/>
      <c r="F76" s="186"/>
      <c r="G76" s="186"/>
      <c r="H76" s="186"/>
      <c r="I76" s="186"/>
      <c r="J76" s="1"/>
      <c r="AA76" s="201" t="n">
        <v>22</v>
      </c>
    </row>
    <row r="77" customFormat="false" ht="12.75" hidden="false" customHeight="true" outlineLevel="0" collapsed="false">
      <c r="A77" s="1"/>
      <c r="B77" s="1"/>
      <c r="C77" s="1"/>
      <c r="D77" s="1"/>
      <c r="E77" s="1"/>
      <c r="F77" s="1"/>
      <c r="G77" s="1"/>
      <c r="H77" s="1"/>
      <c r="I77" s="1"/>
      <c r="J77" s="1"/>
      <c r="AA77" s="201" t="n">
        <v>24</v>
      </c>
    </row>
    <row r="78" customFormat="false" ht="13.5" hidden="false" customHeight="true" outlineLevel="0" collapsed="false">
      <c r="A78" s="1"/>
      <c r="B78" s="170" t="s">
        <v>298</v>
      </c>
      <c r="C78" s="170"/>
      <c r="D78" s="170"/>
      <c r="E78" s="170"/>
      <c r="F78" s="170"/>
      <c r="G78" s="170"/>
      <c r="H78" s="170"/>
      <c r="I78" s="170"/>
      <c r="J78" s="1"/>
      <c r="AA78" s="201" t="n">
        <v>27</v>
      </c>
    </row>
    <row r="79" customFormat="false" ht="38.25" hidden="false" customHeight="true" outlineLevel="0" collapsed="false">
      <c r="A79" s="1"/>
      <c r="B79" s="171" t="s">
        <v>252</v>
      </c>
      <c r="C79" s="171" t="s">
        <v>268</v>
      </c>
      <c r="D79" s="171" t="s">
        <v>299</v>
      </c>
      <c r="E79" s="171" t="s">
        <v>270</v>
      </c>
      <c r="F79" s="171" t="s">
        <v>300</v>
      </c>
      <c r="G79" s="171" t="s">
        <v>301</v>
      </c>
      <c r="H79" s="171" t="s">
        <v>302</v>
      </c>
      <c r="I79" s="171" t="s">
        <v>303</v>
      </c>
      <c r="J79" s="1"/>
      <c r="AA79" s="201" t="n">
        <v>30</v>
      </c>
    </row>
    <row r="80" customFormat="false" ht="13.5" hidden="false" customHeight="true" outlineLevel="0" collapsed="false">
      <c r="A80" s="1"/>
      <c r="B80" s="192" t="n">
        <v>1</v>
      </c>
      <c r="C80" s="177" t="n">
        <f aca="false">C18</f>
        <v>7.15</v>
      </c>
      <c r="D80" s="193" t="n">
        <f aca="false">IF(AND(ISNUMBER(D18),D18&gt;0),SQRT(D18^2+IF(ISNUMBER(E18),E18,0)^2),"")</f>
        <v>1809.03786582813</v>
      </c>
      <c r="E80" s="194" t="n">
        <f aca="false">IF(AND(ISNUMBER(D18),D18&gt;0),IFERROR(DEGREES(ATAN2(D18,IF(ISNUMBER(E18),E18,0))),""),"")</f>
        <v>47.4642602096732</v>
      </c>
      <c r="F80" s="196" t="n">
        <f aca="false">IF(D80&lt;&gt;"",IFERROR((1+SQRT(((IF(ISNUMBER(D18),D18/MAX((D18/$C$9),0.000000001),C9)-C9)^2+(IF(ISNUMBER(E18),E18/MAX((D18/$C$9),0.000000001),0))^2)/((IF(ISNUMBER(D18),D18/MAX((D18/$C$9),0.000000001),C9)+C9)^2+(IF(ISNUMBER(E18),E18/MAX((D18/$C$9),0.000000001),0))^2)))/(1-SQRT(((IF(ISNUMBER(D18),D18/MAX((D18/$C$9),0.000000001),C9)-C9)^2+(IF(ISNUMBER(E18),E18/MAX((D18/$C$9),0.000000001),0))^2)/((IF(ISNUMBER(D18),D18/MAX((D18/$C$9),0.000000001),C9)+C9)^2+(IF(ISNUMBER(E18),E18/MAX((D18/$C$9),0.000000001),0))^2))),999),"")</f>
        <v>2.83527586173387</v>
      </c>
      <c r="G80" s="197" t="n">
        <f aca="false">IF(D80&lt;&gt;"",IFERROR(-20*LOG10(MAX(SQRT(((IF(ISNUMBER(D18),D18/MAX((D18/$C$9),0.000000001),C9)-C9)^2+(IF(ISNUMBER(E18),E18/MAX((D18/$C$9),0.000000001),0))^2)/((IF(ISNUMBER(D18),D18/MAX((D18/$C$9),0.000000001),C9)+C9)^2+(IF(ISNUMBER(E18),E18/MAX((D18/$C$9),0.000000001),0))^2)),0.000000001)),0),"")</f>
        <v>6.40190508965517</v>
      </c>
      <c r="H80" s="196" t="n">
        <f aca="false">IF(D80&lt;&gt;"",IFERROR(MAX(0,-10*LOG10(1-((IF(ISNUMBER(D18),D18/MAX((D18/$C$9),0.000000001),C9)-C9)^2+(IF(ISNUMBER(E18),E18/MAX((D18/$C$9),0.000000001),0))^2)/((IF(ISNUMBER(D18),D18/MAX((D18/$C$9),0.000000001),C9)+C9)^2+(IF(ISNUMBER(E18),E18/MAX((D18/$C$9),0.000000001),0))^2))),0),"")</f>
        <v>1.12937902392702</v>
      </c>
      <c r="I80" s="196" t="n">
        <f aca="false">IF(D80&lt;&gt;"",IFERROR(((IF(ISNUMBER(D18),D18/MAX((D18/$C$9),0.000000001),C9)-C9)^2+(IF(ISNUMBER(E18),E18/MAX((D18/$C$9),0.000000001),0))^2)/((IF(ISNUMBER(D18),D18/MAX((D18/$C$9),0.000000001),C9)+C9)^2+(IF(ISNUMBER(E18),E18/MAX((D18/$C$9),0.000000001),0))^2)*100,0),"")</f>
        <v>22.8986295403042</v>
      </c>
      <c r="J80" s="1"/>
      <c r="AA80" s="201" t="n">
        <v>33</v>
      </c>
    </row>
    <row r="81" customFormat="false" ht="13.5" hidden="false" customHeight="true" outlineLevel="0" collapsed="false">
      <c r="A81" s="1"/>
      <c r="B81" s="192" t="n">
        <v>2</v>
      </c>
      <c r="C81" s="177" t="n">
        <f aca="false">C19</f>
        <v>14.175</v>
      </c>
      <c r="D81" s="193" t="n">
        <f aca="false">IF(AND(ISNUMBER(D19),D19&gt;0),SQRT(D19^2+IF(ISNUMBER(E19),E19,0)^2),"")</f>
        <v>1334.62541561294</v>
      </c>
      <c r="E81" s="194" t="n">
        <f aca="false">IF(AND(ISNUMBER(D19),D19&gt;0),IFERROR(DEGREES(ATAN2(D19,IF(ISNUMBER(E19),E19,0))),""),"")</f>
        <v>83.1146021498277</v>
      </c>
      <c r="F81" s="196" t="n">
        <f aca="false">IF(D81&lt;&gt;"",IFERROR((1+SQRT(((IF(ISNUMBER(D19),D19/MAX((D19/$C$9),0.000000001),C9)-C9)^2+(IF(ISNUMBER(E19),E19/MAX((D19/$C$9),0.000000001),0))^2)/((IF(ISNUMBER(D19),D19/MAX((D19/$C$9),0.000000001),C9)+C9)^2+(IF(ISNUMBER(E19),E19/MAX((D19/$C$9),0.000000001),0))^2)))/(1-SQRT(((IF(ISNUMBER(D19),D19/MAX((D19/$C$9),0.000000001),C9)-C9)^2+(IF(ISNUMBER(E19),E19/MAX((D19/$C$9),0.000000001),0))^2)/((IF(ISNUMBER(D19),D19/MAX((D19/$C$9),0.000000001),C9)+C9)^2+(IF(ISNUMBER(E19),E19/MAX((D19/$C$9),0.000000001),0))^2))),999),"")</f>
        <v>70.5649302170891</v>
      </c>
      <c r="G81" s="197" t="n">
        <f aca="false">IF(D81&lt;&gt;"",IFERROR(-20*LOG10(MAX(SQRT(((IF(ISNUMBER(D19),D19/MAX((D19/$C$9),0.000000001),C9)-C9)^2+(IF(ISNUMBER(E19),E19/MAX((D19/$C$9),0.000000001),0))^2)/((IF(ISNUMBER(D19),D19/MAX((D19/$C$9),0.000000001),C9)+C9)^2+(IF(ISNUMBER(E19),E19/MAX((D19/$C$9),0.000000001),0))^2)),0.000000001)),0),"")</f>
        <v>0.246197966474936</v>
      </c>
      <c r="H81" s="196" t="n">
        <f aca="false">IF(D81&lt;&gt;"",IFERROR(MAX(0,-10*LOG10(1-((IF(ISNUMBER(D19),D19/MAX((D19/$C$9),0.000000001),C9)-C9)^2+(IF(ISNUMBER(E19),E19/MAX((D19/$C$9),0.000000001),0))^2)/((IF(ISNUMBER(D19),D19/MAX((D19/$C$9),0.000000001),C9)+C9)^2+(IF(ISNUMBER(E19),E19/MAX((D19/$C$9),0.000000001),0))^2))),0),"")</f>
        <v>12.5875159655333</v>
      </c>
      <c r="I81" s="196" t="n">
        <f aca="false">IF(D81&lt;&gt;"",IFERROR(((IF(ISNUMBER(D19),D19/MAX((D19/$C$9),0.000000001),C9)-C9)^2+(IF(ISNUMBER(E19),E19/MAX((D19/$C$9),0.000000001),0))^2)/((IF(ISNUMBER(D19),D19/MAX((D19/$C$9),0.000000001),C9)+C9)^2+(IF(ISNUMBER(E19),E19/MAX((D19/$C$9),0.000000001),0))^2)*100,0),"")</f>
        <v>94.488771679606</v>
      </c>
      <c r="J81" s="1"/>
      <c r="AA81" s="201" t="n">
        <v>36</v>
      </c>
    </row>
    <row r="82" customFormat="false" ht="13.5" hidden="false" customHeight="true" outlineLevel="0" collapsed="false">
      <c r="A82" s="1"/>
      <c r="B82" s="192" t="n">
        <v>3</v>
      </c>
      <c r="C82" s="177" t="str">
        <f aca="false">C20</f>
        <v/>
      </c>
      <c r="D82" s="193" t="str">
        <f aca="false">IF(AND(ISNUMBER(D20),D20&gt;0),SQRT(D20^2+IF(ISNUMBER(E20),E20,0)^2),"")</f>
        <v/>
      </c>
      <c r="E82" s="194" t="str">
        <f aca="false">IF(AND(ISNUMBER(D20),D20&gt;0),IFERROR(DEGREES(ATAN2(D20,IF(ISNUMBER(E20),E20,0))),""),"")</f>
        <v/>
      </c>
      <c r="F82" s="196" t="str">
        <f aca="false">IF(D82&lt;&gt;"",IFERROR((1+SQRT(((IF(ISNUMBER(D20),D20/MAX((D20/$C$9),0.000000001),C9)-C9)^2+(IF(ISNUMBER(E20),E20/MAX((D20/$C$9),0.000000001),0))^2)/((IF(ISNUMBER(D20),D20/MAX((D20/$C$9),0.000000001),C9)+C9)^2+(IF(ISNUMBER(E20),E20/MAX((D20/$C$9),0.000000001),0))^2)))/(1-SQRT(((IF(ISNUMBER(D20),D20/MAX((D20/$C$9),0.000000001),C9)-C9)^2+(IF(ISNUMBER(E20),E20/MAX((D20/$C$9),0.000000001),0))^2)/((IF(ISNUMBER(D20),D20/MAX((D20/$C$9),0.000000001),C9)+C9)^2+(IF(ISNUMBER(E20),E20/MAX((D20/$C$9),0.000000001),0))^2))),999),"")</f>
        <v/>
      </c>
      <c r="G82" s="197" t="str">
        <f aca="false">IF(D82&lt;&gt;"",IFERROR(-20*LOG10(MAX(SQRT(((IF(ISNUMBER(D20),D20/MAX((D20/$C$9),0.000000001),C9)-C9)^2+(IF(ISNUMBER(E20),E20/MAX((D20/$C$9),0.000000001),0))^2)/((IF(ISNUMBER(D20),D20/MAX((D20/$C$9),0.000000001),C9)+C9)^2+(IF(ISNUMBER(E20),E20/MAX((D20/$C$9),0.000000001),0))^2)),0.000000001)),0),"")</f>
        <v/>
      </c>
      <c r="H82" s="196" t="str">
        <f aca="false">IF(D82&lt;&gt;"",IFERROR(MAX(0,-10*LOG10(1-((IF(ISNUMBER(D20),D20/MAX((D20/$C$9),0.000000001),C9)-C9)^2+(IF(ISNUMBER(E20),E20/MAX((D20/$C$9),0.000000001),0))^2)/((IF(ISNUMBER(D20),D20/MAX((D20/$C$9),0.000000001),C9)+C9)^2+(IF(ISNUMBER(E20),E20/MAX((D20/$C$9),0.000000001),0))^2))),0),"")</f>
        <v/>
      </c>
      <c r="I82" s="196" t="str">
        <f aca="false">IF(D82&lt;&gt;"",IFERROR(((IF(ISNUMBER(D20),D20/MAX((D20/$C$9),0.000000001),C9)-C9)^2+(IF(ISNUMBER(E20),E20/MAX((D20/$C$9),0.000000001),0))^2)/((IF(ISNUMBER(D20),D20/MAX((D20/$C$9),0.000000001),C9)+C9)^2+(IF(ISNUMBER(E20),E20/MAX((D20/$C$9),0.000000001),0))^2)*100,0),"")</f>
        <v/>
      </c>
      <c r="J82" s="1"/>
      <c r="AA82" s="201" t="n">
        <v>39</v>
      </c>
    </row>
    <row r="83" customFormat="false" ht="13.5" hidden="false" customHeight="true" outlineLevel="0" collapsed="false">
      <c r="A83" s="1"/>
      <c r="B83" s="192" t="n">
        <v>4</v>
      </c>
      <c r="C83" s="177" t="str">
        <f aca="false">C21</f>
        <v/>
      </c>
      <c r="D83" s="193" t="str">
        <f aca="false">IF(AND(ISNUMBER(D21),D21&gt;0),SQRT(D21^2+IF(ISNUMBER(E21),E21,0)^2),"")</f>
        <v/>
      </c>
      <c r="E83" s="194" t="str">
        <f aca="false">IF(AND(ISNUMBER(D21),D21&gt;0),IFERROR(DEGREES(ATAN2(D21,IF(ISNUMBER(E21),E21,0))),""),"")</f>
        <v/>
      </c>
      <c r="F83" s="196" t="str">
        <f aca="false">IF(D83&lt;&gt;"",IFERROR((1+SQRT(((IF(ISNUMBER(D21),D21/MAX((D21/$C$9),0.000000001),C9)-C9)^2+(IF(ISNUMBER(E21),E21/MAX((D21/$C$9),0.000000001),0))^2)/((IF(ISNUMBER(D21),D21/MAX((D21/$C$9),0.000000001),C9)+C9)^2+(IF(ISNUMBER(E21),E21/MAX((D21/$C$9),0.000000001),0))^2)))/(1-SQRT(((IF(ISNUMBER(D21),D21/MAX((D21/$C$9),0.000000001),C9)-C9)^2+(IF(ISNUMBER(E21),E21/MAX((D21/$C$9),0.000000001),0))^2)/((IF(ISNUMBER(D21),D21/MAX((D21/$C$9),0.000000001),C9)+C9)^2+(IF(ISNUMBER(E21),E21/MAX((D21/$C$9),0.000000001),0))^2))),999),"")</f>
        <v/>
      </c>
      <c r="G83" s="197" t="str">
        <f aca="false">IF(D83&lt;&gt;"",IFERROR(-20*LOG10(MAX(SQRT(((IF(ISNUMBER(D21),D21/MAX((D21/$C$9),0.000000001),C9)-C9)^2+(IF(ISNUMBER(E21),E21/MAX((D21/$C$9),0.000000001),0))^2)/((IF(ISNUMBER(D21),D21/MAX((D21/$C$9),0.000000001),C9)+C9)^2+(IF(ISNUMBER(E21),E21/MAX((D21/$C$9),0.000000001),0))^2)),0.000000001)),0),"")</f>
        <v/>
      </c>
      <c r="H83" s="196" t="str">
        <f aca="false">IF(D83&lt;&gt;"",IFERROR(MAX(0,-10*LOG10(1-((IF(ISNUMBER(D21),D21/MAX((D21/$C$9),0.000000001),C9)-C9)^2+(IF(ISNUMBER(E21),E21/MAX((D21/$C$9),0.000000001),0))^2)/((IF(ISNUMBER(D21),D21/MAX((D21/$C$9),0.000000001),C9)+C9)^2+(IF(ISNUMBER(E21),E21/MAX((D21/$C$9),0.000000001),0))^2))),0),"")</f>
        <v/>
      </c>
      <c r="I83" s="196" t="str">
        <f aca="false">IF(D83&lt;&gt;"",IFERROR(((IF(ISNUMBER(D21),D21/MAX((D21/$C$9),0.000000001),C9)-C9)^2+(IF(ISNUMBER(E21),E21/MAX((D21/$C$9),0.000000001),0))^2)/((IF(ISNUMBER(D21),D21/MAX((D21/$C$9),0.000000001),C9)+C9)^2+(IF(ISNUMBER(E21),E21/MAX((D21/$C$9),0.000000001),0))^2)*100,0),"")</f>
        <v/>
      </c>
      <c r="J83" s="1"/>
      <c r="AA83" s="201" t="n">
        <v>43</v>
      </c>
    </row>
    <row r="84" customFormat="false" ht="13.5" hidden="false" customHeight="true" outlineLevel="0" collapsed="false">
      <c r="A84" s="1"/>
      <c r="B84" s="192" t="n">
        <v>5</v>
      </c>
      <c r="C84" s="177" t="str">
        <f aca="false">C22</f>
        <v/>
      </c>
      <c r="D84" s="193" t="str">
        <f aca="false">IF(AND(ISNUMBER(D22),D22&gt;0),SQRT(D22^2+IF(ISNUMBER(E22),E22,0)^2),"")</f>
        <v/>
      </c>
      <c r="E84" s="194" t="str">
        <f aca="false">IF(AND(ISNUMBER(D22),D22&gt;0),IFERROR(DEGREES(ATAN2(D22,IF(ISNUMBER(E22),E22,0))),""),"")</f>
        <v/>
      </c>
      <c r="F84" s="196" t="str">
        <f aca="false">IF(D84&lt;&gt;"",IFERROR((1+SQRT(((IF(ISNUMBER(D22),D22/MAX((D22/$C$9),0.000000001),C9)-C9)^2+(IF(ISNUMBER(E22),E22/MAX((D22/$C$9),0.000000001),0))^2)/((IF(ISNUMBER(D22),D22/MAX((D22/$C$9),0.000000001),C9)+C9)^2+(IF(ISNUMBER(E22),E22/MAX((D22/$C$9),0.000000001),0))^2)))/(1-SQRT(((IF(ISNUMBER(D22),D22/MAX((D22/$C$9),0.000000001),C9)-C9)^2+(IF(ISNUMBER(E22),E22/MAX((D22/$C$9),0.000000001),0))^2)/((IF(ISNUMBER(D22),D22/MAX((D22/$C$9),0.000000001),C9)+C9)^2+(IF(ISNUMBER(E22),E22/MAX((D22/$C$9),0.000000001),0))^2))),999),"")</f>
        <v/>
      </c>
      <c r="G84" s="197" t="str">
        <f aca="false">IF(D84&lt;&gt;"",IFERROR(-20*LOG10(MAX(SQRT(((IF(ISNUMBER(D22),D22/MAX((D22/$C$9),0.000000001),C9)-C9)^2+(IF(ISNUMBER(E22),E22/MAX((D22/$C$9),0.000000001),0))^2)/((IF(ISNUMBER(D22),D22/MAX((D22/$C$9),0.000000001),C9)+C9)^2+(IF(ISNUMBER(E22),E22/MAX((D22/$C$9),0.000000001),0))^2)),0.000000001)),0),"")</f>
        <v/>
      </c>
      <c r="H84" s="196" t="str">
        <f aca="false">IF(D84&lt;&gt;"",IFERROR(MAX(0,-10*LOG10(1-((IF(ISNUMBER(D22),D22/MAX((D22/$C$9),0.000000001),C9)-C9)^2+(IF(ISNUMBER(E22),E22/MAX((D22/$C$9),0.000000001),0))^2)/((IF(ISNUMBER(D22),D22/MAX((D22/$C$9),0.000000001),C9)+C9)^2+(IF(ISNUMBER(E22),E22/MAX((D22/$C$9),0.000000001),0))^2))),0),"")</f>
        <v/>
      </c>
      <c r="I84" s="196" t="str">
        <f aca="false">IF(D84&lt;&gt;"",IFERROR(((IF(ISNUMBER(D22),D22/MAX((D22/$C$9),0.000000001),C9)-C9)^2+(IF(ISNUMBER(E22),E22/MAX((D22/$C$9),0.000000001),0))^2)/((IF(ISNUMBER(D22),D22/MAX((D22/$C$9),0.000000001),C9)+C9)^2+(IF(ISNUMBER(E22),E22/MAX((D22/$C$9),0.000000001),0))^2)*100,0),"")</f>
        <v/>
      </c>
      <c r="J84" s="1"/>
      <c r="AA84" s="201" t="n">
        <v>47</v>
      </c>
    </row>
    <row r="85" customFormat="false" ht="13.5" hidden="false" customHeight="true" outlineLevel="0" collapsed="false">
      <c r="A85" s="1"/>
      <c r="B85" s="192" t="n">
        <v>6</v>
      </c>
      <c r="C85" s="177" t="str">
        <f aca="false">C23</f>
        <v/>
      </c>
      <c r="D85" s="193" t="str">
        <f aca="false">IF(AND(ISNUMBER(D23),D23&gt;0),SQRT(D23^2+IF(ISNUMBER(E23),E23,0)^2),"")</f>
        <v/>
      </c>
      <c r="E85" s="194" t="str">
        <f aca="false">IF(AND(ISNUMBER(D23),D23&gt;0),IFERROR(DEGREES(ATAN2(D23,IF(ISNUMBER(E23),E23,0))),""),"")</f>
        <v/>
      </c>
      <c r="F85" s="196" t="str">
        <f aca="false">IF(D85&lt;&gt;"",IFERROR((1+SQRT(((IF(ISNUMBER(D23),D23/MAX((D23/$C$9),0.000000001),C9)-C9)^2+(IF(ISNUMBER(E23),E23/MAX((D23/$C$9),0.000000001),0))^2)/((IF(ISNUMBER(D23),D23/MAX((D23/$C$9),0.000000001),C9)+C9)^2+(IF(ISNUMBER(E23),E23/MAX((D23/$C$9),0.000000001),0))^2)))/(1-SQRT(((IF(ISNUMBER(D23),D23/MAX((D23/$C$9),0.000000001),C9)-C9)^2+(IF(ISNUMBER(E23),E23/MAX((D23/$C$9),0.000000001),0))^2)/((IF(ISNUMBER(D23),D23/MAX((D23/$C$9),0.000000001),C9)+C9)^2+(IF(ISNUMBER(E23),E23/MAX((D23/$C$9),0.000000001),0))^2))),999),"")</f>
        <v/>
      </c>
      <c r="G85" s="197" t="str">
        <f aca="false">IF(D85&lt;&gt;"",IFERROR(-20*LOG10(MAX(SQRT(((IF(ISNUMBER(D23),D23/MAX((D23/$C$9),0.000000001),C9)-C9)^2+(IF(ISNUMBER(E23),E23/MAX((D23/$C$9),0.000000001),0))^2)/((IF(ISNUMBER(D23),D23/MAX((D23/$C$9),0.000000001),C9)+C9)^2+(IF(ISNUMBER(E23),E23/MAX((D23/$C$9),0.000000001),0))^2)),0.000000001)),0),"")</f>
        <v/>
      </c>
      <c r="H85" s="196" t="str">
        <f aca="false">IF(D85&lt;&gt;"",IFERROR(MAX(0,-10*LOG10(1-((IF(ISNUMBER(D23),D23/MAX((D23/$C$9),0.000000001),C9)-C9)^2+(IF(ISNUMBER(E23),E23/MAX((D23/$C$9),0.000000001),0))^2)/((IF(ISNUMBER(D23),D23/MAX((D23/$C$9),0.000000001),C9)+C9)^2+(IF(ISNUMBER(E23),E23/MAX((D23/$C$9),0.000000001),0))^2))),0),"")</f>
        <v/>
      </c>
      <c r="I85" s="196" t="str">
        <f aca="false">IF(D85&lt;&gt;"",IFERROR(((IF(ISNUMBER(D23),D23/MAX((D23/$C$9),0.000000001),C9)-C9)^2+(IF(ISNUMBER(E23),E23/MAX((D23/$C$9),0.000000001),0))^2)/((IF(ISNUMBER(D23),D23/MAX((D23/$C$9),0.000000001),C9)+C9)^2+(IF(ISNUMBER(E23),E23/MAX((D23/$C$9),0.000000001),0))^2)*100,0),"")</f>
        <v/>
      </c>
      <c r="J85" s="1"/>
      <c r="AA85" s="201" t="n">
        <v>51</v>
      </c>
    </row>
    <row r="86" customFormat="false" ht="13.5" hidden="false" customHeight="true" outlineLevel="0" collapsed="false">
      <c r="A86" s="1"/>
      <c r="B86" s="192" t="n">
        <v>7</v>
      </c>
      <c r="C86" s="177" t="str">
        <f aca="false">C24</f>
        <v/>
      </c>
      <c r="D86" s="193" t="str">
        <f aca="false">IF(AND(ISNUMBER(D24),D24&gt;0),SQRT(D24^2+IF(ISNUMBER(E24),E24,0)^2),"")</f>
        <v/>
      </c>
      <c r="E86" s="194" t="str">
        <f aca="false">IF(AND(ISNUMBER(D24),D24&gt;0),IFERROR(DEGREES(ATAN2(D24,IF(ISNUMBER(E24),E24,0))),""),"")</f>
        <v/>
      </c>
      <c r="F86" s="196" t="str">
        <f aca="false">IF(D86&lt;&gt;"",IFERROR((1+SQRT(((IF(ISNUMBER(D24),D24/MAX((D24/$C$9),0.000000001),C9)-C9)^2+(IF(ISNUMBER(E24),E24/MAX((D24/$C$9),0.000000001),0))^2)/((IF(ISNUMBER(D24),D24/MAX((D24/$C$9),0.000000001),C9)+C9)^2+(IF(ISNUMBER(E24),E24/MAX((D24/$C$9),0.000000001),0))^2)))/(1-SQRT(((IF(ISNUMBER(D24),D24/MAX((D24/$C$9),0.000000001),C9)-C9)^2+(IF(ISNUMBER(E24),E24/MAX((D24/$C$9),0.000000001),0))^2)/((IF(ISNUMBER(D24),D24/MAX((D24/$C$9),0.000000001),C9)+C9)^2+(IF(ISNUMBER(E24),E24/MAX((D24/$C$9),0.000000001),0))^2))),999),"")</f>
        <v/>
      </c>
      <c r="G86" s="197" t="str">
        <f aca="false">IF(D86&lt;&gt;"",IFERROR(-20*LOG10(MAX(SQRT(((IF(ISNUMBER(D24),D24/MAX((D24/$C$9),0.000000001),C9)-C9)^2+(IF(ISNUMBER(E24),E24/MAX((D24/$C$9),0.000000001),0))^2)/((IF(ISNUMBER(D24),D24/MAX((D24/$C$9),0.000000001),C9)+C9)^2+(IF(ISNUMBER(E24),E24/MAX((D24/$C$9),0.000000001),0))^2)),0.000000001)),0),"")</f>
        <v/>
      </c>
      <c r="H86" s="196" t="str">
        <f aca="false">IF(D86&lt;&gt;"",IFERROR(MAX(0,-10*LOG10(1-((IF(ISNUMBER(D24),D24/MAX((D24/$C$9),0.000000001),C9)-C9)^2+(IF(ISNUMBER(E24),E24/MAX((D24/$C$9),0.000000001),0))^2)/((IF(ISNUMBER(D24),D24/MAX((D24/$C$9),0.000000001),C9)+C9)^2+(IF(ISNUMBER(E24),E24/MAX((D24/$C$9),0.000000001),0))^2))),0),"")</f>
        <v/>
      </c>
      <c r="I86" s="196" t="str">
        <f aca="false">IF(D86&lt;&gt;"",IFERROR(((IF(ISNUMBER(D24),D24/MAX((D24/$C$9),0.000000001),C9)-C9)^2+(IF(ISNUMBER(E24),E24/MAX((D24/$C$9),0.000000001),0))^2)/((IF(ISNUMBER(D24),D24/MAX((D24/$C$9),0.000000001),C9)+C9)^2+(IF(ISNUMBER(E24),E24/MAX((D24/$C$9),0.000000001),0))^2)*100,0),"")</f>
        <v/>
      </c>
      <c r="J86" s="1"/>
      <c r="AA86" s="201" t="n">
        <v>56</v>
      </c>
    </row>
    <row r="87" customFormat="false" ht="13.5" hidden="false" customHeight="true" outlineLevel="0" collapsed="false">
      <c r="A87" s="1"/>
      <c r="B87" s="192" t="n">
        <v>8</v>
      </c>
      <c r="C87" s="177" t="str">
        <f aca="false">C25</f>
        <v/>
      </c>
      <c r="D87" s="193" t="str">
        <f aca="false">IF(AND(ISNUMBER(D25),D25&gt;0),SQRT(D25^2+IF(ISNUMBER(E25),E25,0)^2),"")</f>
        <v/>
      </c>
      <c r="E87" s="194" t="str">
        <f aca="false">IF(AND(ISNUMBER(D25),D25&gt;0),IFERROR(DEGREES(ATAN2(D25,IF(ISNUMBER(E25),E25,0))),""),"")</f>
        <v/>
      </c>
      <c r="F87" s="196" t="str">
        <f aca="false">IF(D87&lt;&gt;"",IFERROR((1+SQRT(((IF(ISNUMBER(D25),D25/MAX((D25/$C$9),0.000000001),C9)-C9)^2+(IF(ISNUMBER(E25),E25/MAX((D25/$C$9),0.000000001),0))^2)/((IF(ISNUMBER(D25),D25/MAX((D25/$C$9),0.000000001),C9)+C9)^2+(IF(ISNUMBER(E25),E25/MAX((D25/$C$9),0.000000001),0))^2)))/(1-SQRT(((IF(ISNUMBER(D25),D25/MAX((D25/$C$9),0.000000001),C9)-C9)^2+(IF(ISNUMBER(E25),E25/MAX((D25/$C$9),0.000000001),0))^2)/((IF(ISNUMBER(D25),D25/MAX((D25/$C$9),0.000000001),C9)+C9)^2+(IF(ISNUMBER(E25),E25/MAX((D25/$C$9),0.000000001),0))^2))),999),"")</f>
        <v/>
      </c>
      <c r="G87" s="197" t="str">
        <f aca="false">IF(D87&lt;&gt;"",IFERROR(-20*LOG10(MAX(SQRT(((IF(ISNUMBER(D25),D25/MAX((D25/$C$9),0.000000001),C9)-C9)^2+(IF(ISNUMBER(E25),E25/MAX((D25/$C$9),0.000000001),0))^2)/((IF(ISNUMBER(D25),D25/MAX((D25/$C$9),0.000000001),C9)+C9)^2+(IF(ISNUMBER(E25),E25/MAX((D25/$C$9),0.000000001),0))^2)),0.000000001)),0),"")</f>
        <v/>
      </c>
      <c r="H87" s="196" t="str">
        <f aca="false">IF(D87&lt;&gt;"",IFERROR(MAX(0,-10*LOG10(1-((IF(ISNUMBER(D25),D25/MAX((D25/$C$9),0.000000001),C9)-C9)^2+(IF(ISNUMBER(E25),E25/MAX((D25/$C$9),0.000000001),0))^2)/((IF(ISNUMBER(D25),D25/MAX((D25/$C$9),0.000000001),C9)+C9)^2+(IF(ISNUMBER(E25),E25/MAX((D25/$C$9),0.000000001),0))^2))),0),"")</f>
        <v/>
      </c>
      <c r="I87" s="196" t="str">
        <f aca="false">IF(D87&lt;&gt;"",IFERROR(((IF(ISNUMBER(D25),D25/MAX((D25/$C$9),0.000000001),C9)-C9)^2+(IF(ISNUMBER(E25),E25/MAX((D25/$C$9),0.000000001),0))^2)/((IF(ISNUMBER(D25),D25/MAX((D25/$C$9),0.000000001),C9)+C9)^2+(IF(ISNUMBER(E25),E25/MAX((D25/$C$9),0.000000001),0))^2)*100,0),"")</f>
        <v/>
      </c>
      <c r="J87" s="1"/>
      <c r="AA87" s="201" t="n">
        <v>62</v>
      </c>
    </row>
    <row r="88" customFormat="false" ht="13.5" hidden="false" customHeight="true" outlineLevel="0" collapsed="false">
      <c r="A88" s="1"/>
      <c r="B88" s="192" t="n">
        <v>9</v>
      </c>
      <c r="C88" s="177" t="str">
        <f aca="false">C26</f>
        <v/>
      </c>
      <c r="D88" s="193" t="str">
        <f aca="false">IF(AND(ISNUMBER(D26),D26&gt;0),SQRT(D26^2+IF(ISNUMBER(E26),E26,0)^2),"")</f>
        <v/>
      </c>
      <c r="E88" s="194" t="str">
        <f aca="false">IF(AND(ISNUMBER(D26),D26&gt;0),IFERROR(DEGREES(ATAN2(D26,IF(ISNUMBER(E26),E26,0))),""),"")</f>
        <v/>
      </c>
      <c r="F88" s="196" t="str">
        <f aca="false">IF(D88&lt;&gt;"",IFERROR((1+SQRT(((IF(ISNUMBER(D26),D26/MAX((D26/$C$9),0.000000001),C9)-C9)^2+(IF(ISNUMBER(E26),E26/MAX((D26/$C$9),0.000000001),0))^2)/((IF(ISNUMBER(D26),D26/MAX((D26/$C$9),0.000000001),C9)+C9)^2+(IF(ISNUMBER(E26),E26/MAX((D26/$C$9),0.000000001),0))^2)))/(1-SQRT(((IF(ISNUMBER(D26),D26/MAX((D26/$C$9),0.000000001),C9)-C9)^2+(IF(ISNUMBER(E26),E26/MAX((D26/$C$9),0.000000001),0))^2)/((IF(ISNUMBER(D26),D26/MAX((D26/$C$9),0.000000001),C9)+C9)^2+(IF(ISNUMBER(E26),E26/MAX((D26/$C$9),0.000000001),0))^2))),999),"")</f>
        <v/>
      </c>
      <c r="G88" s="197" t="str">
        <f aca="false">IF(D88&lt;&gt;"",IFERROR(-20*LOG10(MAX(SQRT(((IF(ISNUMBER(D26),D26/MAX((D26/$C$9),0.000000001),C9)-C9)^2+(IF(ISNUMBER(E26),E26/MAX((D26/$C$9),0.000000001),0))^2)/((IF(ISNUMBER(D26),D26/MAX((D26/$C$9),0.000000001),C9)+C9)^2+(IF(ISNUMBER(E26),E26/MAX((D26/$C$9),0.000000001),0))^2)),0.000000001)),0),"")</f>
        <v/>
      </c>
      <c r="H88" s="196" t="str">
        <f aca="false">IF(D88&lt;&gt;"",IFERROR(MAX(0,-10*LOG10(1-((IF(ISNUMBER(D26),D26/MAX((D26/$C$9),0.000000001),C9)-C9)^2+(IF(ISNUMBER(E26),E26/MAX((D26/$C$9),0.000000001),0))^2)/((IF(ISNUMBER(D26),D26/MAX((D26/$C$9),0.000000001),C9)+C9)^2+(IF(ISNUMBER(E26),E26/MAX((D26/$C$9),0.000000001),0))^2))),0),"")</f>
        <v/>
      </c>
      <c r="I88" s="196" t="str">
        <f aca="false">IF(D88&lt;&gt;"",IFERROR(((IF(ISNUMBER(D26),D26/MAX((D26/$C$9),0.000000001),C9)-C9)^2+(IF(ISNUMBER(E26),E26/MAX((D26/$C$9),0.000000001),0))^2)/((IF(ISNUMBER(D26),D26/MAX((D26/$C$9),0.000000001),C9)+C9)^2+(IF(ISNUMBER(E26),E26/MAX((D26/$C$9),0.000000001),0))^2)*100,0),"")</f>
        <v/>
      </c>
      <c r="J88" s="1"/>
      <c r="AA88" s="201" t="n">
        <v>68</v>
      </c>
    </row>
    <row r="89" customFormat="false" ht="13.5" hidden="false" customHeight="true" outlineLevel="0" collapsed="false">
      <c r="A89" s="1"/>
      <c r="B89" s="192" t="n">
        <v>10</v>
      </c>
      <c r="C89" s="177" t="str">
        <f aca="false">C27</f>
        <v/>
      </c>
      <c r="D89" s="193" t="str">
        <f aca="false">IF(AND(ISNUMBER(D27),D27&gt;0),SQRT(D27^2+IF(ISNUMBER(E27),E27,0)^2),"")</f>
        <v/>
      </c>
      <c r="E89" s="194" t="str">
        <f aca="false">IF(AND(ISNUMBER(D27),D27&gt;0),IFERROR(DEGREES(ATAN2(D27,IF(ISNUMBER(E27),E27,0))),""),"")</f>
        <v/>
      </c>
      <c r="F89" s="196" t="str">
        <f aca="false">IF(D89&lt;&gt;"",IFERROR((1+SQRT(((IF(ISNUMBER(D27),D27/MAX((D27/$C$9),0.000000001),C9)-C9)^2+(IF(ISNUMBER(E27),E27/MAX((D27/$C$9),0.000000001),0))^2)/((IF(ISNUMBER(D27),D27/MAX((D27/$C$9),0.000000001),C9)+C9)^2+(IF(ISNUMBER(E27),E27/MAX((D27/$C$9),0.000000001),0))^2)))/(1-SQRT(((IF(ISNUMBER(D27),D27/MAX((D27/$C$9),0.000000001),C9)-C9)^2+(IF(ISNUMBER(E27),E27/MAX((D27/$C$9),0.000000001),0))^2)/((IF(ISNUMBER(D27),D27/MAX((D27/$C$9),0.000000001),C9)+C9)^2+(IF(ISNUMBER(E27),E27/MAX((D27/$C$9),0.000000001),0))^2))),999),"")</f>
        <v/>
      </c>
      <c r="G89" s="197" t="str">
        <f aca="false">IF(D89&lt;&gt;"",IFERROR(-20*LOG10(MAX(SQRT(((IF(ISNUMBER(D27),D27/MAX((D27/$C$9),0.000000001),C9)-C9)^2+(IF(ISNUMBER(E27),E27/MAX((D27/$C$9),0.000000001),0))^2)/((IF(ISNUMBER(D27),D27/MAX((D27/$C$9),0.000000001),C9)+C9)^2+(IF(ISNUMBER(E27),E27/MAX((D27/$C$9),0.000000001),0))^2)),0.000000001)),0),"")</f>
        <v/>
      </c>
      <c r="H89" s="196" t="str">
        <f aca="false">IF(D89&lt;&gt;"",IFERROR(MAX(0,-10*LOG10(1-((IF(ISNUMBER(D27),D27/MAX((D27/$C$9),0.000000001),C9)-C9)^2+(IF(ISNUMBER(E27),E27/MAX((D27/$C$9),0.000000001),0))^2)/((IF(ISNUMBER(D27),D27/MAX((D27/$C$9),0.000000001),C9)+C9)^2+(IF(ISNUMBER(E27),E27/MAX((D27/$C$9),0.000000001),0))^2))),0),"")</f>
        <v/>
      </c>
      <c r="I89" s="196" t="str">
        <f aca="false">IF(D89&lt;&gt;"",IFERROR(((IF(ISNUMBER(D27),D27/MAX((D27/$C$9),0.000000001),C9)-C9)^2+(IF(ISNUMBER(E27),E27/MAX((D27/$C$9),0.000000001),0))^2)/((IF(ISNUMBER(D27),D27/MAX((D27/$C$9),0.000000001),C9)+C9)^2+(IF(ISNUMBER(E27),E27/MAX((D27/$C$9),0.000000001),0))^2)*100,0),"")</f>
        <v/>
      </c>
      <c r="J89" s="1"/>
      <c r="AA89" s="201" t="n">
        <v>75</v>
      </c>
    </row>
    <row r="90" customFormat="false" ht="13.5" hidden="false" customHeight="true" outlineLevel="0" collapsed="false">
      <c r="A90" s="1"/>
      <c r="B90" s="192" t="n">
        <v>11</v>
      </c>
      <c r="C90" s="177" t="str">
        <f aca="false">C28</f>
        <v/>
      </c>
      <c r="D90" s="193" t="str">
        <f aca="false">IF(AND(ISNUMBER(D28),D28&gt;0),SQRT(D28^2+IF(ISNUMBER(E28),E28,0)^2),"")</f>
        <v/>
      </c>
      <c r="E90" s="194" t="str">
        <f aca="false">IF(AND(ISNUMBER(D28),D28&gt;0),IFERROR(DEGREES(ATAN2(D28,IF(ISNUMBER(E28),E28,0))),""),"")</f>
        <v/>
      </c>
      <c r="F90" s="196" t="str">
        <f aca="false">IF(D90&lt;&gt;"",IFERROR((1+SQRT(((IF(ISNUMBER(D28),D28/MAX((D28/$C$9),0.000000001),C9)-C9)^2+(IF(ISNUMBER(E28),E28/MAX((D28/$C$9),0.000000001),0))^2)/((IF(ISNUMBER(D28),D28/MAX((D28/$C$9),0.000000001),C9)+C9)^2+(IF(ISNUMBER(E28),E28/MAX((D28/$C$9),0.000000001),0))^2)))/(1-SQRT(((IF(ISNUMBER(D28),D28/MAX((D28/$C$9),0.000000001),C9)-C9)^2+(IF(ISNUMBER(E28),E28/MAX((D28/$C$9),0.000000001),0))^2)/((IF(ISNUMBER(D28),D28/MAX((D28/$C$9),0.000000001),C9)+C9)^2+(IF(ISNUMBER(E28),E28/MAX((D28/$C$9),0.000000001),0))^2))),999),"")</f>
        <v/>
      </c>
      <c r="G90" s="197" t="str">
        <f aca="false">IF(D90&lt;&gt;"",IFERROR(-20*LOG10(MAX(SQRT(((IF(ISNUMBER(D28),D28/MAX((D28/$C$9),0.000000001),C9)-C9)^2+(IF(ISNUMBER(E28),E28/MAX((D28/$C$9),0.000000001),0))^2)/((IF(ISNUMBER(D28),D28/MAX((D28/$C$9),0.000000001),C9)+C9)^2+(IF(ISNUMBER(E28),E28/MAX((D28/$C$9),0.000000001),0))^2)),0.000000001)),0),"")</f>
        <v/>
      </c>
      <c r="H90" s="196" t="str">
        <f aca="false">IF(D90&lt;&gt;"",IFERROR(MAX(0,-10*LOG10(1-((IF(ISNUMBER(D28),D28/MAX((D28/$C$9),0.000000001),C9)-C9)^2+(IF(ISNUMBER(E28),E28/MAX((D28/$C$9),0.000000001),0))^2)/((IF(ISNUMBER(D28),D28/MAX((D28/$C$9),0.000000001),C9)+C9)^2+(IF(ISNUMBER(E28),E28/MAX((D28/$C$9),0.000000001),0))^2))),0),"")</f>
        <v/>
      </c>
      <c r="I90" s="196" t="str">
        <f aca="false">IF(D90&lt;&gt;"",IFERROR(((IF(ISNUMBER(D28),D28/MAX((D28/$C$9),0.000000001),C9)-C9)^2+(IF(ISNUMBER(E28),E28/MAX((D28/$C$9),0.000000001),0))^2)/((IF(ISNUMBER(D28),D28/MAX((D28/$C$9),0.000000001),C9)+C9)^2+(IF(ISNUMBER(E28),E28/MAX((D28/$C$9),0.000000001),0))^2)*100,0),"")</f>
        <v/>
      </c>
      <c r="J90" s="1"/>
      <c r="AA90" s="201" t="n">
        <v>82</v>
      </c>
    </row>
    <row r="91" customFormat="false" ht="12.75" hidden="false" customHeight="true" outlineLevel="0" collapsed="false">
      <c r="A91" s="1"/>
      <c r="B91" s="1"/>
      <c r="C91" s="1"/>
      <c r="D91" s="1"/>
      <c r="E91" s="1"/>
      <c r="F91" s="1"/>
      <c r="G91" s="1"/>
      <c r="H91" s="1"/>
      <c r="I91" s="1"/>
      <c r="J91" s="1"/>
      <c r="AA91" s="201" t="n">
        <v>91</v>
      </c>
    </row>
    <row r="92" customFormat="false" ht="13.5" hidden="false" customHeight="true" outlineLevel="0" collapsed="false">
      <c r="A92" s="1"/>
      <c r="B92" s="205" t="s">
        <v>304</v>
      </c>
      <c r="C92" s="205"/>
      <c r="D92" s="205"/>
      <c r="E92" s="205"/>
      <c r="F92" s="205"/>
      <c r="G92" s="205"/>
      <c r="H92" s="205"/>
      <c r="I92" s="205"/>
      <c r="J92" s="1"/>
      <c r="AA92" s="201" t="n">
        <v>100</v>
      </c>
    </row>
    <row r="93" customFormat="false" ht="13.5" hidden="false" customHeight="true" outlineLevel="0" collapsed="false">
      <c r="A93" s="1"/>
      <c r="B93" s="179" t="s">
        <v>305</v>
      </c>
      <c r="C93" s="179"/>
      <c r="D93" s="179"/>
      <c r="E93" s="179"/>
      <c r="F93" s="179"/>
      <c r="G93" s="179"/>
      <c r="H93" s="179"/>
      <c r="I93" s="179"/>
      <c r="J93" s="1"/>
      <c r="AA93" s="201" t="n">
        <v>110</v>
      </c>
    </row>
    <row r="94" customFormat="false" ht="13.5" hidden="false" customHeight="true" outlineLevel="0" collapsed="false">
      <c r="A94" s="1"/>
      <c r="B94" s="179" t="s">
        <v>306</v>
      </c>
      <c r="C94" s="179"/>
      <c r="D94" s="179"/>
      <c r="E94" s="179"/>
      <c r="F94" s="179"/>
      <c r="G94" s="179"/>
      <c r="H94" s="179"/>
      <c r="I94" s="179"/>
      <c r="J94" s="1"/>
      <c r="AA94" s="201" t="n">
        <v>120</v>
      </c>
    </row>
    <row r="95" customFormat="false" ht="13.5" hidden="false" customHeight="true" outlineLevel="0" collapsed="false">
      <c r="A95" s="1"/>
      <c r="B95" s="179" t="s">
        <v>307</v>
      </c>
      <c r="C95" s="179"/>
      <c r="D95" s="179"/>
      <c r="E95" s="179"/>
      <c r="F95" s="179"/>
      <c r="G95" s="179"/>
      <c r="H95" s="179"/>
      <c r="I95" s="179"/>
      <c r="J95" s="1"/>
      <c r="AA95" s="201" t="n">
        <v>130</v>
      </c>
    </row>
    <row r="96" customFormat="false" ht="13.5" hidden="false" customHeight="true" outlineLevel="0" collapsed="false">
      <c r="A96" s="1"/>
      <c r="B96" s="179" t="s">
        <v>308</v>
      </c>
      <c r="C96" s="179"/>
      <c r="D96" s="179"/>
      <c r="E96" s="179"/>
      <c r="F96" s="179"/>
      <c r="G96" s="179"/>
      <c r="H96" s="179"/>
      <c r="I96" s="179"/>
      <c r="J96" s="1"/>
      <c r="AA96" s="201" t="n">
        <v>150</v>
      </c>
    </row>
    <row r="97" customFormat="false" ht="13.5" hidden="false" customHeight="true" outlineLevel="0" collapsed="false">
      <c r="A97" s="1"/>
      <c r="B97" s="179" t="s">
        <v>309</v>
      </c>
      <c r="C97" s="179"/>
      <c r="D97" s="179"/>
      <c r="E97" s="179"/>
      <c r="F97" s="179"/>
      <c r="G97" s="179"/>
      <c r="H97" s="179"/>
      <c r="I97" s="179"/>
      <c r="J97" s="1"/>
      <c r="AA97" s="201" t="n">
        <v>160</v>
      </c>
    </row>
    <row r="98" customFormat="false" ht="13.5" hidden="false" customHeight="true" outlineLevel="0" collapsed="false">
      <c r="A98" s="1"/>
      <c r="B98" s="179" t="s">
        <v>310</v>
      </c>
      <c r="C98" s="179"/>
      <c r="D98" s="179"/>
      <c r="E98" s="179"/>
      <c r="F98" s="179"/>
      <c r="G98" s="179"/>
      <c r="H98" s="179"/>
      <c r="I98" s="179"/>
      <c r="J98" s="1"/>
      <c r="AA98" s="201" t="n">
        <v>180</v>
      </c>
    </row>
    <row r="99" customFormat="false" ht="13.5" hidden="false" customHeight="true" outlineLevel="0" collapsed="false">
      <c r="A99" s="1"/>
      <c r="B99" s="179" t="s">
        <v>311</v>
      </c>
      <c r="C99" s="179"/>
      <c r="D99" s="179"/>
      <c r="E99" s="179"/>
      <c r="F99" s="179"/>
      <c r="G99" s="179"/>
      <c r="H99" s="179"/>
      <c r="I99" s="179"/>
      <c r="J99" s="1"/>
      <c r="AA99" s="201" t="n">
        <v>200</v>
      </c>
    </row>
    <row r="100" customFormat="false" ht="12.75" hidden="false" customHeight="true" outlineLevel="0" collapsed="false">
      <c r="A100" s="1"/>
      <c r="B100" s="1"/>
      <c r="C100" s="1"/>
      <c r="D100" s="1"/>
      <c r="E100" s="1"/>
      <c r="F100" s="1"/>
      <c r="G100" s="1"/>
      <c r="H100" s="1"/>
      <c r="I100" s="1"/>
      <c r="J100" s="1"/>
      <c r="AA100" s="201" t="n">
        <v>220</v>
      </c>
    </row>
    <row r="101" customFormat="false" ht="13.5" hidden="false" customHeight="true" outlineLevel="0" collapsed="false">
      <c r="A101" s="1"/>
      <c r="B101" s="169" t="s">
        <v>312</v>
      </c>
      <c r="C101" s="169"/>
      <c r="D101" s="169"/>
      <c r="E101" s="169"/>
      <c r="F101" s="169"/>
      <c r="G101" s="169"/>
      <c r="H101" s="1"/>
      <c r="I101" s="1"/>
      <c r="J101" s="1"/>
      <c r="AA101" s="201" t="n">
        <v>240</v>
      </c>
    </row>
    <row r="102" customFormat="false" ht="13.5" hidden="false" customHeight="true" outlineLevel="0" collapsed="false">
      <c r="A102" s="1"/>
      <c r="B102" s="186" t="s">
        <v>313</v>
      </c>
      <c r="C102" s="186"/>
      <c r="D102" s="186"/>
      <c r="E102" s="186"/>
      <c r="F102" s="186"/>
      <c r="G102" s="186"/>
      <c r="H102" s="1"/>
      <c r="I102" s="1"/>
      <c r="J102" s="1"/>
      <c r="AA102" s="201" t="n">
        <v>270</v>
      </c>
    </row>
    <row r="103" customFormat="false" ht="12.75" hidden="false" customHeight="true" outlineLevel="0" collapsed="false">
      <c r="A103" s="1"/>
      <c r="B103" s="1"/>
      <c r="C103" s="1"/>
      <c r="D103" s="1"/>
      <c r="E103" s="1"/>
      <c r="F103" s="1"/>
      <c r="G103" s="1"/>
      <c r="H103" s="1"/>
      <c r="I103" s="1"/>
      <c r="J103" s="1"/>
      <c r="AA103" s="201" t="n">
        <v>300</v>
      </c>
    </row>
    <row r="104" customFormat="false" ht="13.5" hidden="false" customHeight="true" outlineLevel="0" collapsed="false">
      <c r="A104" s="1"/>
      <c r="B104" s="170" t="s">
        <v>314</v>
      </c>
      <c r="C104" s="170"/>
      <c r="D104" s="170"/>
      <c r="E104" s="170"/>
      <c r="F104" s="170"/>
      <c r="G104" s="170"/>
      <c r="H104" s="1"/>
      <c r="I104" s="1"/>
      <c r="J104" s="1"/>
      <c r="AA104" s="201" t="n">
        <v>330</v>
      </c>
    </row>
    <row r="105" customFormat="false" ht="13.5" hidden="false" customHeight="true" outlineLevel="0" collapsed="false">
      <c r="A105" s="1"/>
      <c r="B105" s="171" t="s">
        <v>77</v>
      </c>
      <c r="C105" s="171" t="s">
        <v>237</v>
      </c>
      <c r="D105" s="171" t="s">
        <v>153</v>
      </c>
      <c r="E105" s="171" t="s">
        <v>315</v>
      </c>
      <c r="F105" s="171"/>
      <c r="G105" s="171"/>
      <c r="H105" s="1"/>
      <c r="I105" s="1"/>
      <c r="J105" s="1"/>
      <c r="AA105" s="201" t="n">
        <v>360</v>
      </c>
    </row>
    <row r="106" customFormat="false" ht="13.5" hidden="false" customHeight="true" outlineLevel="0" collapsed="false">
      <c r="A106" s="1"/>
      <c r="B106" s="172" t="s">
        <v>316</v>
      </c>
      <c r="C106" s="176" t="n">
        <f aca="false">C11</f>
        <v>50</v>
      </c>
      <c r="D106" s="187" t="s">
        <v>122</v>
      </c>
      <c r="E106" s="174" t="s">
        <v>317</v>
      </c>
      <c r="F106" s="174"/>
      <c r="G106" s="174"/>
      <c r="H106" s="1"/>
      <c r="I106" s="1"/>
      <c r="J106" s="1"/>
      <c r="AA106" s="201" t="n">
        <v>390</v>
      </c>
    </row>
    <row r="107" customFormat="false" ht="13.5" hidden="false" customHeight="true" outlineLevel="0" collapsed="false">
      <c r="A107" s="1"/>
      <c r="B107" s="172" t="s">
        <v>318</v>
      </c>
      <c r="C107" s="176" t="n">
        <f aca="false">C10</f>
        <v>1</v>
      </c>
      <c r="D107" s="187" t="s">
        <v>122</v>
      </c>
      <c r="E107" s="174" t="s">
        <v>319</v>
      </c>
      <c r="F107" s="174"/>
      <c r="G107" s="174"/>
      <c r="H107" s="1"/>
      <c r="I107" s="1"/>
      <c r="J107" s="1"/>
      <c r="AA107" s="201" t="n">
        <v>430</v>
      </c>
    </row>
    <row r="108" customFormat="false" ht="13.5" hidden="false" customHeight="true" outlineLevel="0" collapsed="false">
      <c r="A108" s="1"/>
      <c r="B108" s="172" t="s">
        <v>320</v>
      </c>
      <c r="C108" s="176" t="n">
        <f aca="false">$C$10+$C$14</f>
        <v>2</v>
      </c>
      <c r="D108" s="187" t="s">
        <v>122</v>
      </c>
      <c r="E108" s="174" t="s">
        <v>321</v>
      </c>
      <c r="F108" s="174"/>
      <c r="G108" s="174"/>
      <c r="H108" s="1"/>
      <c r="I108" s="1"/>
      <c r="J108" s="1"/>
      <c r="AA108" s="201" t="n">
        <v>470</v>
      </c>
    </row>
    <row r="109" customFormat="false" ht="13.5" hidden="false" customHeight="true" outlineLevel="0" collapsed="false">
      <c r="A109" s="1"/>
      <c r="B109" s="172" t="s">
        <v>322</v>
      </c>
      <c r="C109" s="177" t="n">
        <f aca="false">IFERROR(IF(E73&lt;&gt;"",VALUE(E73),10),10)</f>
        <v>25</v>
      </c>
      <c r="D109" s="187" t="s">
        <v>262</v>
      </c>
      <c r="E109" s="174" t="s">
        <v>323</v>
      </c>
      <c r="F109" s="174"/>
      <c r="G109" s="174"/>
      <c r="H109" s="1"/>
      <c r="I109" s="1"/>
      <c r="J109" s="1"/>
      <c r="AA109" s="201" t="n">
        <v>510</v>
      </c>
    </row>
    <row r="110" customFormat="false" ht="12.75" hidden="false" customHeight="true" outlineLevel="0" collapsed="false">
      <c r="A110" s="1"/>
      <c r="B110" s="1"/>
      <c r="C110" s="1"/>
      <c r="D110" s="1"/>
      <c r="E110" s="1"/>
      <c r="F110" s="1"/>
      <c r="G110" s="1"/>
      <c r="H110" s="1"/>
      <c r="I110" s="1"/>
      <c r="J110" s="1"/>
      <c r="AA110" s="201" t="n">
        <v>560</v>
      </c>
    </row>
    <row r="111" customFormat="false" ht="13.5" hidden="false" customHeight="true" outlineLevel="0" collapsed="false">
      <c r="A111" s="1"/>
      <c r="B111" s="170" t="s">
        <v>324</v>
      </c>
      <c r="C111" s="170"/>
      <c r="D111" s="170"/>
      <c r="E111" s="170"/>
      <c r="F111" s="170"/>
      <c r="G111" s="170"/>
      <c r="H111" s="1"/>
      <c r="I111" s="1"/>
      <c r="J111" s="1"/>
      <c r="AA111" s="201" t="n">
        <v>620</v>
      </c>
    </row>
    <row r="112" customFormat="false" ht="13.5" hidden="false" customHeight="true" outlineLevel="0" collapsed="false">
      <c r="A112" s="1"/>
      <c r="B112" s="171" t="s">
        <v>77</v>
      </c>
      <c r="C112" s="171" t="s">
        <v>237</v>
      </c>
      <c r="D112" s="171" t="s">
        <v>153</v>
      </c>
      <c r="E112" s="171" t="s">
        <v>325</v>
      </c>
      <c r="F112" s="171"/>
      <c r="G112" s="171"/>
      <c r="H112" s="1"/>
      <c r="I112" s="1"/>
      <c r="J112" s="1"/>
      <c r="AA112" s="201" t="n">
        <v>680</v>
      </c>
    </row>
    <row r="113" customFormat="false" ht="13.5" hidden="false" customHeight="true" outlineLevel="0" collapsed="false">
      <c r="A113" s="1"/>
      <c r="B113" s="172" t="s">
        <v>326</v>
      </c>
      <c r="C113" s="189" t="n">
        <f aca="false">IFERROR(IF(C109&gt;0,(C109-1)*C108+C107,""),"")</f>
        <v>49</v>
      </c>
      <c r="D113" s="187" t="s">
        <v>122</v>
      </c>
      <c r="E113" s="174" t="s">
        <v>327</v>
      </c>
      <c r="F113" s="174"/>
      <c r="G113" s="174"/>
      <c r="H113" s="1"/>
      <c r="I113" s="1"/>
      <c r="J113" s="1"/>
      <c r="AA113" s="201" t="n">
        <v>750</v>
      </c>
    </row>
    <row r="114" customFormat="false" ht="13.5" hidden="false" customHeight="true" outlineLevel="0" collapsed="false">
      <c r="A114" s="1"/>
      <c r="B114" s="172" t="s">
        <v>328</v>
      </c>
      <c r="C114" s="189" t="n">
        <f aca="false">(C106+C107)/2</f>
        <v>25.5</v>
      </c>
      <c r="D114" s="187" t="s">
        <v>122</v>
      </c>
      <c r="E114" s="174" t="s">
        <v>329</v>
      </c>
      <c r="F114" s="174"/>
      <c r="G114" s="174"/>
      <c r="H114" s="1"/>
      <c r="I114" s="1"/>
      <c r="J114" s="1"/>
      <c r="AA114" s="201" t="n">
        <v>820</v>
      </c>
    </row>
    <row r="115" customFormat="false" ht="13.5" hidden="false" customHeight="true" outlineLevel="0" collapsed="false">
      <c r="A115" s="1"/>
      <c r="B115" s="172" t="s">
        <v>328</v>
      </c>
      <c r="C115" s="189" t="n">
        <f aca="false">((C106+C107)/2)/25.4</f>
        <v>1.00393700787402</v>
      </c>
      <c r="D115" s="187" t="s">
        <v>330</v>
      </c>
      <c r="E115" s="174" t="s">
        <v>331</v>
      </c>
      <c r="F115" s="174"/>
      <c r="G115" s="174"/>
      <c r="H115" s="1"/>
      <c r="I115" s="1"/>
      <c r="J115" s="1"/>
      <c r="AA115" s="201" t="n">
        <v>910</v>
      </c>
    </row>
    <row r="116" customFormat="false" ht="13.5" hidden="false" customHeight="true" outlineLevel="0" collapsed="false">
      <c r="A116" s="1"/>
      <c r="B116" s="172" t="s">
        <v>326</v>
      </c>
      <c r="C116" s="189" t="n">
        <f aca="false">IFERROR(C113/25.4,"")</f>
        <v>1.92913385826772</v>
      </c>
      <c r="D116" s="187" t="s">
        <v>330</v>
      </c>
      <c r="E116" s="174" t="s">
        <v>331</v>
      </c>
      <c r="F116" s="174"/>
      <c r="G116" s="174"/>
      <c r="H116" s="1"/>
      <c r="I116" s="1"/>
      <c r="J116" s="1"/>
      <c r="AA116" s="201" t="n">
        <v>1000</v>
      </c>
    </row>
    <row r="117" customFormat="false" ht="13.5" hidden="false" customHeight="true" outlineLevel="0" collapsed="false">
      <c r="A117" s="1"/>
      <c r="B117" s="172" t="s">
        <v>332</v>
      </c>
      <c r="C117" s="189" t="n">
        <f aca="false">IFERROR((C115^2*C109^2)/(9*C115+10*C116),"")</f>
        <v>22.2380070368202</v>
      </c>
      <c r="D117" s="187" t="s">
        <v>158</v>
      </c>
      <c r="E117" s="174" t="s">
        <v>333</v>
      </c>
      <c r="F117" s="174"/>
      <c r="G117" s="174"/>
      <c r="H117" s="1"/>
      <c r="I117" s="1"/>
      <c r="J117" s="1"/>
      <c r="AA117" s="201" t="n">
        <v>1100</v>
      </c>
    </row>
    <row r="118" customFormat="false" ht="13.5" hidden="false" customHeight="true" outlineLevel="0" collapsed="false">
      <c r="A118" s="1"/>
      <c r="B118" s="172" t="s">
        <v>334</v>
      </c>
      <c r="C118" s="189" t="n">
        <f aca="false" t="array" ref="C118:C118">IFERROR(2*PI()*MIN(IF($F$18:$F$28="YES",$C$18:$C$28))*C117,"")</f>
        <v>999.03746138414</v>
      </c>
      <c r="D118" s="187" t="s">
        <v>176</v>
      </c>
      <c r="E118" s="174" t="s">
        <v>335</v>
      </c>
      <c r="F118" s="174"/>
      <c r="G118" s="174"/>
      <c r="H118" s="1"/>
      <c r="I118" s="1"/>
      <c r="J118" s="1"/>
      <c r="AA118" s="201" t="n">
        <v>1200</v>
      </c>
    </row>
    <row r="119" customFormat="false" ht="13.5" hidden="false" customHeight="true" outlineLevel="0" collapsed="false">
      <c r="A119" s="1"/>
      <c r="B119" s="172" t="s">
        <v>336</v>
      </c>
      <c r="C119" s="189" t="n">
        <f aca="false" t="array" ref="C119:C119">IFERROR(4*$C$9/(2*PI()*MIN(IF($F$18:$F$28="YES",$C$18:$C$28))),"")</f>
        <v>4.45188652005302</v>
      </c>
      <c r="D119" s="187" t="s">
        <v>158</v>
      </c>
      <c r="E119" s="174" t="s">
        <v>337</v>
      </c>
      <c r="F119" s="174"/>
      <c r="G119" s="174"/>
      <c r="H119" s="1"/>
      <c r="I119" s="1"/>
      <c r="J119" s="1"/>
      <c r="AA119" s="201" t="n">
        <v>1300</v>
      </c>
    </row>
    <row r="120" customFormat="false" ht="25.5" hidden="false" customHeight="true" outlineLevel="0" collapsed="false">
      <c r="A120" s="1"/>
      <c r="B120" s="172" t="s">
        <v>338</v>
      </c>
      <c r="C120" s="189" t="str">
        <f aca="false">IFERROR(IF(AND(ISNUMBER(C117),ISNUMBER(C119)),IF(C117&gt;=C119,"✔ YES","✘ INCREASE TURNS"),"—"),"")</f>
        <v>✔ YES</v>
      </c>
      <c r="D120" s="187" t="s">
        <v>339</v>
      </c>
      <c r="E120" s="174" t="s">
        <v>340</v>
      </c>
      <c r="F120" s="174"/>
      <c r="G120" s="174"/>
      <c r="H120" s="1"/>
      <c r="I120" s="1"/>
      <c r="J120" s="1"/>
      <c r="AA120" s="201" t="n">
        <v>1500</v>
      </c>
    </row>
    <row r="121" customFormat="false" ht="12.75" hidden="false" customHeight="true" outlineLevel="0" collapsed="false">
      <c r="A121" s="1"/>
      <c r="B121" s="1"/>
      <c r="C121" s="1"/>
      <c r="D121" s="1"/>
      <c r="E121" s="1"/>
      <c r="F121" s="1"/>
      <c r="G121" s="1"/>
      <c r="H121" s="1"/>
      <c r="I121" s="1"/>
      <c r="J121" s="1"/>
      <c r="AA121" s="201" t="n">
        <v>1600</v>
      </c>
    </row>
    <row r="122" customFormat="false" ht="12.75" hidden="false" customHeight="true" outlineLevel="0" collapsed="false">
      <c r="A122" s="1"/>
      <c r="B122" s="1"/>
      <c r="C122" s="1"/>
      <c r="D122" s="1"/>
      <c r="E122" s="1"/>
      <c r="F122" s="1"/>
      <c r="G122" s="1"/>
      <c r="H122" s="1"/>
      <c r="I122" s="1"/>
      <c r="J122" s="1"/>
      <c r="AA122" s="201" t="n">
        <v>1800</v>
      </c>
    </row>
    <row r="123" customFormat="false" ht="12.75" hidden="false" customHeight="true" outlineLevel="0" collapsed="false">
      <c r="A123" s="1"/>
      <c r="B123" s="206" t="s">
        <v>341</v>
      </c>
      <c r="C123" s="206"/>
      <c r="D123" s="206"/>
      <c r="E123" s="206"/>
      <c r="F123" s="206"/>
      <c r="G123" s="206"/>
      <c r="H123" s="206"/>
      <c r="I123" s="206"/>
      <c r="J123" s="206"/>
      <c r="AA123" s="201" t="n">
        <v>2000</v>
      </c>
    </row>
    <row r="124" customFormat="false" ht="12.75" hidden="false" customHeight="true" outlineLevel="0" collapsed="false">
      <c r="A124" s="1"/>
      <c r="B124" s="207" t="s">
        <v>342</v>
      </c>
      <c r="C124" s="207"/>
      <c r="D124" s="207"/>
      <c r="E124" s="207"/>
      <c r="F124" s="207"/>
      <c r="G124" s="207"/>
      <c r="H124" s="207"/>
      <c r="I124" s="207"/>
      <c r="J124" s="207"/>
      <c r="AA124" s="201" t="n">
        <v>2200</v>
      </c>
    </row>
    <row r="125" customFormat="false" ht="12.75" hidden="false" customHeight="true" outlineLevel="0" collapsed="false">
      <c r="A125" s="1"/>
      <c r="B125" s="1"/>
      <c r="C125" s="1"/>
      <c r="D125" s="1"/>
      <c r="E125" s="1"/>
      <c r="F125" s="1"/>
      <c r="G125" s="1"/>
      <c r="H125" s="1"/>
      <c r="I125" s="1"/>
      <c r="J125" s="1"/>
      <c r="AA125" s="201" t="n">
        <v>2400</v>
      </c>
    </row>
    <row r="126" customFormat="false" ht="12.75" hidden="false" customHeight="true" outlineLevel="0" collapsed="false">
      <c r="A126" s="1"/>
      <c r="B126" s="208" t="s">
        <v>343</v>
      </c>
      <c r="C126" s="208"/>
      <c r="D126" s="208"/>
      <c r="E126" s="208"/>
      <c r="F126" s="208"/>
      <c r="G126" s="208"/>
      <c r="H126" s="208"/>
      <c r="I126" s="208"/>
      <c r="J126" s="208"/>
      <c r="AA126" s="201" t="n">
        <v>2700</v>
      </c>
    </row>
    <row r="127" customFormat="false" ht="12.75" hidden="false" customHeight="true" outlineLevel="0" collapsed="false">
      <c r="A127" s="1"/>
      <c r="B127" s="209" t="s">
        <v>344</v>
      </c>
      <c r="C127" s="209"/>
      <c r="D127" s="209"/>
      <c r="E127" s="209"/>
      <c r="F127" s="209"/>
      <c r="G127" s="209"/>
      <c r="H127" s="209"/>
      <c r="I127" s="209"/>
      <c r="J127" s="209"/>
      <c r="AA127" s="201" t="n">
        <v>3000</v>
      </c>
    </row>
    <row r="128" customFormat="false" ht="12.75" hidden="false" customHeight="true" outlineLevel="0" collapsed="false">
      <c r="A128" s="1"/>
      <c r="B128" s="209" t="s">
        <v>345</v>
      </c>
      <c r="C128" s="209"/>
      <c r="D128" s="209"/>
      <c r="E128" s="209"/>
      <c r="F128" s="209"/>
      <c r="G128" s="209"/>
      <c r="H128" s="209"/>
      <c r="I128" s="209"/>
      <c r="J128" s="209"/>
      <c r="AA128" s="201" t="n">
        <v>3300</v>
      </c>
    </row>
    <row r="129" customFormat="false" ht="12.75" hidden="false" customHeight="true" outlineLevel="0" collapsed="false">
      <c r="A129" s="1"/>
      <c r="B129" s="209" t="s">
        <v>346</v>
      </c>
      <c r="C129" s="209"/>
      <c r="D129" s="209"/>
      <c r="E129" s="209"/>
      <c r="F129" s="209"/>
      <c r="G129" s="209"/>
      <c r="H129" s="209"/>
      <c r="I129" s="209"/>
      <c r="J129" s="209"/>
      <c r="AA129" s="201" t="n">
        <v>3600</v>
      </c>
    </row>
    <row r="130" customFormat="false" ht="12.75" hidden="false" customHeight="true" outlineLevel="0" collapsed="false">
      <c r="A130" s="1"/>
      <c r="B130" s="209" t="s">
        <v>347</v>
      </c>
      <c r="C130" s="209"/>
      <c r="D130" s="209"/>
      <c r="E130" s="209"/>
      <c r="F130" s="209"/>
      <c r="G130" s="209"/>
      <c r="H130" s="209"/>
      <c r="I130" s="209"/>
      <c r="J130" s="209"/>
      <c r="AA130" s="201" t="n">
        <v>3900</v>
      </c>
    </row>
    <row r="131" customFormat="false" ht="12.75" hidden="false" customHeight="true" outlineLevel="0" collapsed="false">
      <c r="A131" s="1"/>
      <c r="B131" s="209" t="s">
        <v>348</v>
      </c>
      <c r="C131" s="209"/>
      <c r="D131" s="209"/>
      <c r="E131" s="209"/>
      <c r="F131" s="209"/>
      <c r="G131" s="209"/>
      <c r="H131" s="209"/>
      <c r="I131" s="209"/>
      <c r="J131" s="209"/>
      <c r="AA131" s="201" t="n">
        <v>4300</v>
      </c>
    </row>
    <row r="132" customFormat="false" ht="12.75" hidden="false" customHeight="true" outlineLevel="0" collapsed="false">
      <c r="A132" s="1"/>
      <c r="B132" s="1"/>
      <c r="C132" s="1"/>
      <c r="D132" s="1"/>
      <c r="E132" s="1"/>
      <c r="F132" s="1"/>
      <c r="G132" s="1"/>
      <c r="H132" s="1"/>
      <c r="I132" s="1"/>
      <c r="J132" s="1"/>
      <c r="AA132" s="201" t="n">
        <v>4700</v>
      </c>
    </row>
    <row r="133" customFormat="false" ht="25.5" hidden="false" customHeight="true" outlineLevel="0" collapsed="false">
      <c r="A133" s="1"/>
      <c r="B133" s="210" t="s">
        <v>252</v>
      </c>
      <c r="C133" s="210" t="s">
        <v>349</v>
      </c>
      <c r="D133" s="210" t="s">
        <v>350</v>
      </c>
      <c r="E133" s="210" t="s">
        <v>351</v>
      </c>
      <c r="F133" s="210" t="s">
        <v>352</v>
      </c>
      <c r="G133" s="210" t="s">
        <v>353</v>
      </c>
      <c r="H133" s="210" t="s">
        <v>354</v>
      </c>
      <c r="I133" s="210" t="s">
        <v>355</v>
      </c>
      <c r="J133" s="210" t="s">
        <v>356</v>
      </c>
      <c r="AA133" s="201" t="n">
        <v>5100</v>
      </c>
    </row>
    <row r="134" customFormat="false" ht="12.75" hidden="false" customHeight="true" outlineLevel="0" collapsed="false">
      <c r="A134" s="1"/>
      <c r="B134" s="211" t="n">
        <v>1</v>
      </c>
      <c r="C134" s="212" t="n">
        <f aca="false">C18</f>
        <v>7.15</v>
      </c>
      <c r="D134" s="212" t="n">
        <f aca="false">D18</f>
        <v>1223</v>
      </c>
      <c r="E134" s="212" t="n">
        <f aca="false">IF(ISNUMBER(E18),E18,"—")</f>
        <v>1333</v>
      </c>
      <c r="F134" s="212" t="n">
        <f aca="false">IF(ISNUMBER(E80),E80,"—")</f>
        <v>47.4642602096732</v>
      </c>
      <c r="G134" s="213" t="str">
        <f aca="false">IFERROR(IF(AND(F18="YES",ISNUMBER(D80),D80&gt;0,ISNUMBER(D18),D18&gt;0),IF(($C$9*IF(ISNUMBER(E18),E18,0)/D18)&lt;0,ABS($C$9*IF(ISNUMBER(E18),E18,0)/D18)/(2*PI()*C18*1000000)*1000000,"—"),"—"),"—")</f>
        <v>—</v>
      </c>
      <c r="H134" s="212" t="n">
        <f aca="false">IFERROR(IF(AND(F18="YES",ISNUMBER(D80),D80&gt;0,ISNUMBER(D18),D18&gt;0),IF(($C$9*IF(ISNUMBER(E18),E18,0)/D18)&gt;0,1/((2*PI()*C18*1000000)*ABS($C$9*IF(ISNUMBER(E18),E18,0)/D18))*1000000000000,"—"),"—"),"—")</f>
        <v>408.451403902839</v>
      </c>
      <c r="I134" s="213" t="str">
        <f aca="false">IFERROR(IF(AND(F18="YES",ISNUMBER(D80),D80&gt;0,ISNUMBER(D18),D18&gt;0),IF((D18*IF(ISNUMBER(E18),E18,0)/($C$9*(D18^2+IF(ISNUMBER(E18),E18,0)^2)))&lt;0,-1/((2*PI()*C18*1000000)*(D18*IF(ISNUMBER(E18),E18,0)/($C$9*(D18^2+IF(ISNUMBER(E18),E18,0)^2))))*1000000,"—"),"—"),"—")</f>
        <v>—</v>
      </c>
      <c r="J134" s="212" t="n">
        <f aca="false">IFERROR(IF(AND(F18="YES",ISNUMBER(D80),D80&gt;0,ISNUMBER(D18),D18&gt;0),IF((D18*IF(ISNUMBER(E18),E18,0)/($C$9*(D18^2+IF(ISNUMBER(E18),E18,0)^2)))&gt;0,(D18*IF(ISNUMBER(E18),E18,0)/($C$9*(D18^2+IF(ISNUMBER(E18),E18,0)^2)))/(2*PI()*C18*1000000)*1000000000000,"—"),"—"),"—")</f>
        <v>221.771317834685</v>
      </c>
      <c r="AA134" s="201" t="n">
        <v>5600</v>
      </c>
    </row>
    <row r="135" customFormat="false" ht="12.75" hidden="false" customHeight="true" outlineLevel="0" collapsed="false">
      <c r="A135" s="1"/>
      <c r="B135" s="211" t="n">
        <v>2</v>
      </c>
      <c r="C135" s="212" t="n">
        <f aca="false">C19</f>
        <v>14.175</v>
      </c>
      <c r="D135" s="212" t="n">
        <f aca="false">D19</f>
        <v>160</v>
      </c>
      <c r="E135" s="212" t="n">
        <f aca="false">IF(ISNUMBER(E19),E19,"—")</f>
        <v>1325</v>
      </c>
      <c r="F135" s="212" t="n">
        <f aca="false">IF(ISNUMBER(E81),E81,"—")</f>
        <v>83.1146021498277</v>
      </c>
      <c r="G135" s="213" t="str">
        <f aca="false">IFERROR(IF(AND(F19="YES",ISNUMBER(D81),D81&gt;0,ISNUMBER(D19),D19&gt;0),IF(($C$9*IF(ISNUMBER(E19),E19,0)/D19)&lt;0,ABS($C$9*IF(ISNUMBER(E19),E19,0)/D19)/(2*PI()*C19*1000000)*1000000,"—"),"—"),"—")</f>
        <v>—</v>
      </c>
      <c r="H135" s="212" t="n">
        <f aca="false">IFERROR(IF(AND(F19="YES",ISNUMBER(D81),D81&gt;0,ISNUMBER(D19),D19&gt;0),IF(($C$9*IF(ISNUMBER(E19),E19,0)/D19)&gt;0,1/((2*PI()*C19*1000000)*ABS($C$9*IF(ISNUMBER(E19),E19,0)/D19))*1000000000000,"—"),"—"),"—")</f>
        <v>27.1163458331005</v>
      </c>
      <c r="I135" s="213" t="str">
        <f aca="false">IFERROR(IF(AND(F19="YES",ISNUMBER(D81),D81&gt;0,ISNUMBER(D19),D19&gt;0),IF((D19*IF(ISNUMBER(E19),E19,0)/($C$9*(D19^2+IF(ISNUMBER(E19),E19,0)^2)))&lt;0,-1/((2*PI()*C19*1000000)*(D19*IF(ISNUMBER(E19),E19,0)/($C$9*(D19^2+IF(ISNUMBER(E19),E19,0)^2))))*1000000,"—"),"—"),"—")</f>
        <v>—</v>
      </c>
      <c r="J135" s="212" t="n">
        <f aca="false">IFERROR(IF(AND(F19="YES",ISNUMBER(D81),D81&gt;0,ISNUMBER(D19),D19&gt;0),IF((D19*IF(ISNUMBER(E19),E19,0)/($C$9*(D19^2+IF(ISNUMBER(E19),E19,0)^2)))&gt;0,(D19*IF(ISNUMBER(E19),E19,0)/($C$9*(D19^2+IF(ISNUMBER(E19),E19,0)^2)))/(2*PI()*C19*1000000)*1000000000000,"—"),"—"),"—")</f>
        <v>26.7266261439387</v>
      </c>
      <c r="AA135" s="201" t="n">
        <v>6200</v>
      </c>
    </row>
    <row r="136" customFormat="false" ht="12.75" hidden="false" customHeight="true" outlineLevel="0" collapsed="false">
      <c r="A136" s="1"/>
      <c r="B136" s="211" t="n">
        <v>3</v>
      </c>
      <c r="C136" s="212" t="str">
        <f aca="false">C20</f>
        <v/>
      </c>
      <c r="D136" s="212" t="str">
        <f aca="false">D20</f>
        <v/>
      </c>
      <c r="E136" s="212" t="str">
        <f aca="false">IF(ISNUMBER(E20),E20,"—")</f>
        <v>—</v>
      </c>
      <c r="F136" s="212" t="str">
        <f aca="false">IF(ISNUMBER(E82),E82,"—")</f>
        <v>—</v>
      </c>
      <c r="G136" s="213" t="str">
        <f aca="false">IFERROR(IF(AND(F20="YES",ISNUMBER(D82),D82&gt;0,ISNUMBER(D20),D20&gt;0),IF(($C$9*IF(ISNUMBER(E20),E20,0)/D20)&lt;0,ABS($C$9*IF(ISNUMBER(E20),E20,0)/D20)/(2*PI()*C20*1000000)*1000000,"—"),"—"),"—")</f>
        <v>—</v>
      </c>
      <c r="H136" s="212" t="str">
        <f aca="false">IFERROR(IF(AND(F20="YES",ISNUMBER(D82),D82&gt;0,ISNUMBER(D20),D20&gt;0),IF(($C$9*IF(ISNUMBER(E20),E20,0)/D20)&gt;0,1/((2*PI()*C20*1000000)*ABS($C$9*IF(ISNUMBER(E20),E20,0)/D20))*1000000000000,"—"),"—"),"—")</f>
        <v>—</v>
      </c>
      <c r="I136" s="213" t="str">
        <f aca="false">IFERROR(IF(AND(F20="YES",ISNUMBER(D82),D82&gt;0,ISNUMBER(D20),D20&gt;0),IF((D20*IF(ISNUMBER(E20),E20,0)/($C$9*(D20^2+IF(ISNUMBER(E20),E20,0)^2)))&lt;0,-1/((2*PI()*C20*1000000)*(D20*IF(ISNUMBER(E20),E20,0)/($C$9*(D20^2+IF(ISNUMBER(E20),E20,0)^2))))*1000000,"—"),"—"),"—")</f>
        <v>—</v>
      </c>
      <c r="J136" s="212" t="str">
        <f aca="false">IFERROR(IF(AND(F20="YES",ISNUMBER(D82),D82&gt;0,ISNUMBER(D20),D20&gt;0),IF((D20*IF(ISNUMBER(E20),E20,0)/($C$9*(D20^2+IF(ISNUMBER(E20),E20,0)^2)))&gt;0,(D20*IF(ISNUMBER(E20),E20,0)/($C$9*(D20^2+IF(ISNUMBER(E20),E20,0)^2)))/(2*PI()*C20*1000000)*1000000000000,"—"),"—"),"—")</f>
        <v>—</v>
      </c>
      <c r="AA136" s="201" t="n">
        <v>6800</v>
      </c>
    </row>
    <row r="137" customFormat="false" ht="12.75" hidden="false" customHeight="true" outlineLevel="0" collapsed="false">
      <c r="A137" s="1"/>
      <c r="B137" s="211" t="n">
        <v>4</v>
      </c>
      <c r="C137" s="212" t="str">
        <f aca="false">C21</f>
        <v/>
      </c>
      <c r="D137" s="212" t="str">
        <f aca="false">D21</f>
        <v/>
      </c>
      <c r="E137" s="212" t="str">
        <f aca="false">IF(ISNUMBER(E21),E21,"—")</f>
        <v>—</v>
      </c>
      <c r="F137" s="212" t="str">
        <f aca="false">IF(ISNUMBER(E83),E83,"—")</f>
        <v>—</v>
      </c>
      <c r="G137" s="213" t="str">
        <f aca="false">IFERROR(IF(AND(F21="YES",ISNUMBER(D83),D83&gt;0,ISNUMBER(D21),D21&gt;0),IF(($C$9*IF(ISNUMBER(E21),E21,0)/D21)&lt;0,ABS($C$9*IF(ISNUMBER(E21),E21,0)/D21)/(2*PI()*C21*1000000)*1000000,"—"),"—"),"—")</f>
        <v>—</v>
      </c>
      <c r="H137" s="212" t="str">
        <f aca="false">IFERROR(IF(AND(F21="YES",ISNUMBER(D83),D83&gt;0,ISNUMBER(D21),D21&gt;0),IF(($C$9*IF(ISNUMBER(E21),E21,0)/D21)&gt;0,1/((2*PI()*C21*1000000)*ABS($C$9*IF(ISNUMBER(E21),E21,0)/D21))*1000000000000,"—"),"—"),"—")</f>
        <v>—</v>
      </c>
      <c r="I137" s="213" t="str">
        <f aca="false">IFERROR(IF(AND(F21="YES",ISNUMBER(D83),D83&gt;0,ISNUMBER(D21),D21&gt;0),IF((D21*IF(ISNUMBER(E21),E21,0)/($C$9*(D21^2+IF(ISNUMBER(E21),E21,0)^2)))&lt;0,-1/((2*PI()*C21*1000000)*(D21*IF(ISNUMBER(E21),E21,0)/($C$9*(D21^2+IF(ISNUMBER(E21),E21,0)^2))))*1000000,"—"),"—"),"—")</f>
        <v>—</v>
      </c>
      <c r="J137" s="212" t="str">
        <f aca="false">IFERROR(IF(AND(F21="YES",ISNUMBER(D83),D83&gt;0,ISNUMBER(D21),D21&gt;0),IF((D21*IF(ISNUMBER(E21),E21,0)/($C$9*(D21^2+IF(ISNUMBER(E21),E21,0)^2)))&gt;0,(D21*IF(ISNUMBER(E21),E21,0)/($C$9*(D21^2+IF(ISNUMBER(E21),E21,0)^2)))/(2*PI()*C21*1000000)*1000000000000,"—"),"—"),"—")</f>
        <v>—</v>
      </c>
      <c r="AA137" s="201" t="n">
        <v>7500</v>
      </c>
    </row>
    <row r="138" customFormat="false" ht="12.75" hidden="false" customHeight="true" outlineLevel="0" collapsed="false">
      <c r="A138" s="1"/>
      <c r="B138" s="211" t="n">
        <v>5</v>
      </c>
      <c r="C138" s="212" t="str">
        <f aca="false">C22</f>
        <v/>
      </c>
      <c r="D138" s="212" t="str">
        <f aca="false">D22</f>
        <v/>
      </c>
      <c r="E138" s="212" t="str">
        <f aca="false">IF(ISNUMBER(E22),E22,"—")</f>
        <v>—</v>
      </c>
      <c r="F138" s="212" t="str">
        <f aca="false">IF(ISNUMBER(E84),E84,"—")</f>
        <v>—</v>
      </c>
      <c r="G138" s="213" t="str">
        <f aca="false">IFERROR(IF(AND(F22="YES",ISNUMBER(D84),D84&gt;0,ISNUMBER(D22),D22&gt;0),IF(($C$9*IF(ISNUMBER(E22),E22,0)/D22)&lt;0,ABS($C$9*IF(ISNUMBER(E22),E22,0)/D22)/(2*PI()*C22*1000000)*1000000,"—"),"—"),"—")</f>
        <v>—</v>
      </c>
      <c r="H138" s="212" t="str">
        <f aca="false">IFERROR(IF(AND(F22="YES",ISNUMBER(D84),D84&gt;0,ISNUMBER(D22),D22&gt;0),IF(($C$9*IF(ISNUMBER(E22),E22,0)/D22)&gt;0,1/((2*PI()*C22*1000000)*ABS($C$9*IF(ISNUMBER(E22),E22,0)/D22))*1000000000000,"—"),"—"),"—")</f>
        <v>—</v>
      </c>
      <c r="I138" s="213" t="str">
        <f aca="false">IFERROR(IF(AND(F22="YES",ISNUMBER(D84),D84&gt;0,ISNUMBER(D22),D22&gt;0),IF((D22*IF(ISNUMBER(E22),E22,0)/($C$9*(D22^2+IF(ISNUMBER(E22),E22,0)^2)))&lt;0,-1/((2*PI()*C22*1000000)*(D22*IF(ISNUMBER(E22),E22,0)/($C$9*(D22^2+IF(ISNUMBER(E22),E22,0)^2))))*1000000,"—"),"—"),"—")</f>
        <v>—</v>
      </c>
      <c r="J138" s="212" t="str">
        <f aca="false">IFERROR(IF(AND(F22="YES",ISNUMBER(D84),D84&gt;0,ISNUMBER(D22),D22&gt;0),IF((D22*IF(ISNUMBER(E22),E22,0)/($C$9*(D22^2+IF(ISNUMBER(E22),E22,0)^2)))&gt;0,(D22*IF(ISNUMBER(E22),E22,0)/($C$9*(D22^2+IF(ISNUMBER(E22),E22,0)^2)))/(2*PI()*C22*1000000)*1000000000000,"—"),"—"),"—")</f>
        <v>—</v>
      </c>
      <c r="AA138" s="201" t="n">
        <v>8200</v>
      </c>
    </row>
    <row r="139" customFormat="false" ht="12.75" hidden="false" customHeight="true" outlineLevel="0" collapsed="false">
      <c r="A139" s="1"/>
      <c r="B139" s="211" t="n">
        <v>6</v>
      </c>
      <c r="C139" s="212" t="str">
        <f aca="false">C23</f>
        <v/>
      </c>
      <c r="D139" s="212" t="str">
        <f aca="false">D23</f>
        <v/>
      </c>
      <c r="E139" s="212" t="str">
        <f aca="false">IF(ISNUMBER(E23),E23,"—")</f>
        <v>—</v>
      </c>
      <c r="F139" s="212" t="str">
        <f aca="false">IF(ISNUMBER(E85),E85,"—")</f>
        <v>—</v>
      </c>
      <c r="G139" s="213" t="str">
        <f aca="false">IFERROR(IF(AND(F23="YES",ISNUMBER(D85),D85&gt;0,ISNUMBER(D23),D23&gt;0),IF(($C$9*IF(ISNUMBER(E23),E23,0)/D23)&lt;0,ABS($C$9*IF(ISNUMBER(E23),E23,0)/D23)/(2*PI()*C23*1000000)*1000000,"—"),"—"),"—")</f>
        <v>—</v>
      </c>
      <c r="H139" s="212" t="str">
        <f aca="false">IFERROR(IF(AND(F23="YES",ISNUMBER(D85),D85&gt;0,ISNUMBER(D23),D23&gt;0),IF(($C$9*IF(ISNUMBER(E23),E23,0)/D23)&gt;0,1/((2*PI()*C23*1000000)*ABS($C$9*IF(ISNUMBER(E23),E23,0)/D23))*1000000000000,"—"),"—"),"—")</f>
        <v>—</v>
      </c>
      <c r="I139" s="213" t="str">
        <f aca="false">IFERROR(IF(AND(F23="YES",ISNUMBER(D85),D85&gt;0,ISNUMBER(D23),D23&gt;0),IF((D23*IF(ISNUMBER(E23),E23,0)/($C$9*(D23^2+IF(ISNUMBER(E23),E23,0)^2)))&lt;0,-1/((2*PI()*C23*1000000)*(D23*IF(ISNUMBER(E23),E23,0)/($C$9*(D23^2+IF(ISNUMBER(E23),E23,0)^2))))*1000000,"—"),"—"),"—")</f>
        <v>—</v>
      </c>
      <c r="J139" s="212" t="str">
        <f aca="false">IFERROR(IF(AND(F23="YES",ISNUMBER(D85),D85&gt;0,ISNUMBER(D23),D23&gt;0),IF((D23*IF(ISNUMBER(E23),E23,0)/($C$9*(D23^2+IF(ISNUMBER(E23),E23,0)^2)))&gt;0,(D23*IF(ISNUMBER(E23),E23,0)/($C$9*(D23^2+IF(ISNUMBER(E23),E23,0)^2)))/(2*PI()*C23*1000000)*1000000000000,"—"),"—"),"—")</f>
        <v>—</v>
      </c>
      <c r="AA139" s="201" t="n">
        <v>9100</v>
      </c>
    </row>
    <row r="140" customFormat="false" ht="12.75" hidden="false" customHeight="true" outlineLevel="0" collapsed="false">
      <c r="A140" s="1"/>
      <c r="B140" s="211" t="n">
        <v>7</v>
      </c>
      <c r="C140" s="212" t="str">
        <f aca="false">C24</f>
        <v/>
      </c>
      <c r="D140" s="212" t="str">
        <f aca="false">D24</f>
        <v/>
      </c>
      <c r="E140" s="212" t="str">
        <f aca="false">IF(ISNUMBER(E24),E24,"—")</f>
        <v>—</v>
      </c>
      <c r="F140" s="212" t="str">
        <f aca="false">IF(ISNUMBER(E86),E86,"—")</f>
        <v>—</v>
      </c>
      <c r="G140" s="213" t="str">
        <f aca="false">IFERROR(IF(AND(F24="YES",ISNUMBER(D86),D86&gt;0,ISNUMBER(D24),D24&gt;0),IF(($C$9*IF(ISNUMBER(E24),E24,0)/D24)&lt;0,ABS($C$9*IF(ISNUMBER(E24),E24,0)/D24)/(2*PI()*C24*1000000)*1000000,"—"),"—"),"—")</f>
        <v>—</v>
      </c>
      <c r="H140" s="212" t="str">
        <f aca="false">IFERROR(IF(AND(F24="YES",ISNUMBER(D86),D86&gt;0,ISNUMBER(D24),D24&gt;0),IF(($C$9*IF(ISNUMBER(E24),E24,0)/D24)&gt;0,1/((2*PI()*C24*1000000)*ABS($C$9*IF(ISNUMBER(E24),E24,0)/D24))*1000000000000,"—"),"—"),"—")</f>
        <v>—</v>
      </c>
      <c r="I140" s="213" t="str">
        <f aca="false">IFERROR(IF(AND(F24="YES",ISNUMBER(D86),D86&gt;0,ISNUMBER(D24),D24&gt;0),IF((D24*IF(ISNUMBER(E24),E24,0)/($C$9*(D24^2+IF(ISNUMBER(E24),E24,0)^2)))&lt;0,-1/((2*PI()*C24*1000000)*(D24*IF(ISNUMBER(E24),E24,0)/($C$9*(D24^2+IF(ISNUMBER(E24),E24,0)^2))))*1000000,"—"),"—"),"—")</f>
        <v>—</v>
      </c>
      <c r="J140" s="212" t="str">
        <f aca="false">IFERROR(IF(AND(F24="YES",ISNUMBER(D86),D86&gt;0,ISNUMBER(D24),D24&gt;0),IF((D24*IF(ISNUMBER(E24),E24,0)/($C$9*(D24^2+IF(ISNUMBER(E24),E24,0)^2)))&gt;0,(D24*IF(ISNUMBER(E24),E24,0)/($C$9*(D24^2+IF(ISNUMBER(E24),E24,0)^2)))/(2*PI()*C24*1000000)*1000000000000,"—"),"—"),"—")</f>
        <v>—</v>
      </c>
      <c r="AA140" s="201" t="n">
        <v>10000</v>
      </c>
    </row>
    <row r="141" customFormat="false" ht="12.75" hidden="false" customHeight="true" outlineLevel="0" collapsed="false">
      <c r="A141" s="1"/>
      <c r="B141" s="211" t="n">
        <v>8</v>
      </c>
      <c r="C141" s="212" t="str">
        <f aca="false">C25</f>
        <v/>
      </c>
      <c r="D141" s="212" t="str">
        <f aca="false">D25</f>
        <v/>
      </c>
      <c r="E141" s="212" t="str">
        <f aca="false">IF(ISNUMBER(E25),E25,"—")</f>
        <v>—</v>
      </c>
      <c r="F141" s="212" t="str">
        <f aca="false">IF(ISNUMBER(E87),E87,"—")</f>
        <v>—</v>
      </c>
      <c r="G141" s="213" t="str">
        <f aca="false">IFERROR(IF(AND(F25="YES",ISNUMBER(D87),D87&gt;0,ISNUMBER(D25),D25&gt;0),IF(($C$9*IF(ISNUMBER(E25),E25,0)/D25)&lt;0,ABS($C$9*IF(ISNUMBER(E25),E25,0)/D25)/(2*PI()*C25*1000000)*1000000,"—"),"—"),"—")</f>
        <v>—</v>
      </c>
      <c r="H141" s="212" t="str">
        <f aca="false">IFERROR(IF(AND(F25="YES",ISNUMBER(D87),D87&gt;0,ISNUMBER(D25),D25&gt;0),IF(($C$9*IF(ISNUMBER(E25),E25,0)/D25)&gt;0,1/((2*PI()*C25*1000000)*ABS($C$9*IF(ISNUMBER(E25),E25,0)/D25))*1000000000000,"—"),"—"),"—")</f>
        <v>—</v>
      </c>
      <c r="I141" s="213" t="str">
        <f aca="false">IFERROR(IF(AND(F25="YES",ISNUMBER(D87),D87&gt;0,ISNUMBER(D25),D25&gt;0),IF((D25*IF(ISNUMBER(E25),E25,0)/($C$9*(D25^2+IF(ISNUMBER(E25),E25,0)^2)))&lt;0,-1/((2*PI()*C25*1000000)*(D25*IF(ISNUMBER(E25),E25,0)/($C$9*(D25^2+IF(ISNUMBER(E25),E25,0)^2))))*1000000,"—"),"—"),"—")</f>
        <v>—</v>
      </c>
      <c r="J141" s="212" t="str">
        <f aca="false">IFERROR(IF(AND(F25="YES",ISNUMBER(D87),D87&gt;0,ISNUMBER(D25),D25&gt;0),IF((D25*IF(ISNUMBER(E25),E25,0)/($C$9*(D25^2+IF(ISNUMBER(E25),E25,0)^2)))&gt;0,(D25*IF(ISNUMBER(E25),E25,0)/($C$9*(D25^2+IF(ISNUMBER(E25),E25,0)^2)))/(2*PI()*C25*1000000)*1000000000000,"—"),"—"),"—")</f>
        <v>—</v>
      </c>
      <c r="AA141" s="201" t="n">
        <v>11000</v>
      </c>
    </row>
    <row r="142" customFormat="false" ht="12.75" hidden="false" customHeight="true" outlineLevel="0" collapsed="false">
      <c r="A142" s="1"/>
      <c r="B142" s="211" t="n">
        <v>9</v>
      </c>
      <c r="C142" s="212" t="str">
        <f aca="false">C26</f>
        <v/>
      </c>
      <c r="D142" s="212" t="str">
        <f aca="false">D26</f>
        <v/>
      </c>
      <c r="E142" s="212" t="str">
        <f aca="false">IF(ISNUMBER(E26),E26,"—")</f>
        <v>—</v>
      </c>
      <c r="F142" s="212" t="str">
        <f aca="false">IF(ISNUMBER(E88),E88,"—")</f>
        <v>—</v>
      </c>
      <c r="G142" s="213" t="str">
        <f aca="false">IFERROR(IF(AND(F26="YES",ISNUMBER(D88),D88&gt;0,ISNUMBER(D26),D26&gt;0),IF(($C$9*IF(ISNUMBER(E26),E26,0)/D26)&lt;0,ABS($C$9*IF(ISNUMBER(E26),E26,0)/D26)/(2*PI()*C26*1000000)*1000000,"—"),"—"),"—")</f>
        <v>—</v>
      </c>
      <c r="H142" s="212" t="str">
        <f aca="false">IFERROR(IF(AND(F26="YES",ISNUMBER(D88),D88&gt;0,ISNUMBER(D26),D26&gt;0),IF(($C$9*IF(ISNUMBER(E26),E26,0)/D26)&gt;0,1/((2*PI()*C26*1000000)*ABS($C$9*IF(ISNUMBER(E26),E26,0)/D26))*1000000000000,"—"),"—"),"—")</f>
        <v>—</v>
      </c>
      <c r="I142" s="213" t="str">
        <f aca="false">IFERROR(IF(AND(F26="YES",ISNUMBER(D88),D88&gt;0,ISNUMBER(D26),D26&gt;0),IF((D26*IF(ISNUMBER(E26),E26,0)/($C$9*(D26^2+IF(ISNUMBER(E26),E26,0)^2)))&lt;0,-1/((2*PI()*C26*1000000)*(D26*IF(ISNUMBER(E26),E26,0)/($C$9*(D26^2+IF(ISNUMBER(E26),E26,0)^2))))*1000000,"—"),"—"),"—")</f>
        <v>—</v>
      </c>
      <c r="J142" s="212" t="str">
        <f aca="false">IFERROR(IF(AND(F26="YES",ISNUMBER(D88),D88&gt;0,ISNUMBER(D26),D26&gt;0),IF((D26*IF(ISNUMBER(E26),E26,0)/($C$9*(D26^2+IF(ISNUMBER(E26),E26,0)^2)))&gt;0,(D26*IF(ISNUMBER(E26),E26,0)/($C$9*(D26^2+IF(ISNUMBER(E26),E26,0)^2)))/(2*PI()*C26*1000000)*1000000000000,"—"),"—"),"—")</f>
        <v>—</v>
      </c>
      <c r="AA142" s="201" t="n">
        <v>12000</v>
      </c>
    </row>
    <row r="143" customFormat="false" ht="12.75" hidden="false" customHeight="true" outlineLevel="0" collapsed="false">
      <c r="A143" s="1"/>
      <c r="B143" s="211" t="n">
        <v>10</v>
      </c>
      <c r="C143" s="212" t="str">
        <f aca="false">C27</f>
        <v/>
      </c>
      <c r="D143" s="212" t="str">
        <f aca="false">D27</f>
        <v/>
      </c>
      <c r="E143" s="212" t="str">
        <f aca="false">IF(ISNUMBER(E27),E27,"—")</f>
        <v>—</v>
      </c>
      <c r="F143" s="212" t="str">
        <f aca="false">IF(ISNUMBER(E89),E89,"—")</f>
        <v>—</v>
      </c>
      <c r="G143" s="213" t="str">
        <f aca="false">IFERROR(IF(AND(F27="YES",ISNUMBER(D89),D89&gt;0,ISNUMBER(D27),D27&gt;0),IF(($C$9*IF(ISNUMBER(E27),E27,0)/D27)&lt;0,ABS($C$9*IF(ISNUMBER(E27),E27,0)/D27)/(2*PI()*C27*1000000)*1000000,"—"),"—"),"—")</f>
        <v>—</v>
      </c>
      <c r="H143" s="212" t="str">
        <f aca="false">IFERROR(IF(AND(F27="YES",ISNUMBER(D89),D89&gt;0,ISNUMBER(D27),D27&gt;0),IF(($C$9*IF(ISNUMBER(E27),E27,0)/D27)&gt;0,1/((2*PI()*C27*1000000)*ABS($C$9*IF(ISNUMBER(E27),E27,0)/D27))*1000000000000,"—"),"—"),"—")</f>
        <v>—</v>
      </c>
      <c r="I143" s="213" t="str">
        <f aca="false">IFERROR(IF(AND(F27="YES",ISNUMBER(D89),D89&gt;0,ISNUMBER(D27),D27&gt;0),IF((D27*IF(ISNUMBER(E27),E27,0)/($C$9*(D27^2+IF(ISNUMBER(E27),E27,0)^2)))&lt;0,-1/((2*PI()*C27*1000000)*(D27*IF(ISNUMBER(E27),E27,0)/($C$9*(D27^2+IF(ISNUMBER(E27),E27,0)^2))))*1000000,"—"),"—"),"—")</f>
        <v>—</v>
      </c>
      <c r="J143" s="212" t="str">
        <f aca="false">IFERROR(IF(AND(F27="YES",ISNUMBER(D89),D89&gt;0,ISNUMBER(D27),D27&gt;0),IF((D27*IF(ISNUMBER(E27),E27,0)/($C$9*(D27^2+IF(ISNUMBER(E27),E27,0)^2)))&gt;0,(D27*IF(ISNUMBER(E27),E27,0)/($C$9*(D27^2+IF(ISNUMBER(E27),E27,0)^2)))/(2*PI()*C27*1000000)*1000000000000,"—"),"—"),"—")</f>
        <v>—</v>
      </c>
      <c r="AA143" s="201" t="n">
        <v>13000</v>
      </c>
    </row>
    <row r="144" customFormat="false" ht="12.75" hidden="false" customHeight="true" outlineLevel="0" collapsed="false">
      <c r="A144" s="1"/>
      <c r="B144" s="211" t="n">
        <v>11</v>
      </c>
      <c r="C144" s="212" t="str">
        <f aca="false">C28</f>
        <v/>
      </c>
      <c r="D144" s="212" t="str">
        <f aca="false">D28</f>
        <v/>
      </c>
      <c r="E144" s="212" t="str">
        <f aca="false">IF(ISNUMBER(E28),E28,"—")</f>
        <v>—</v>
      </c>
      <c r="F144" s="212" t="str">
        <f aca="false">IF(ISNUMBER(E90),E90,"—")</f>
        <v>—</v>
      </c>
      <c r="G144" s="213" t="str">
        <f aca="false">IFERROR(IF(AND(F28="YES",ISNUMBER(D90),D90&gt;0,ISNUMBER(D28),D28&gt;0),IF(($C$9*IF(ISNUMBER(E28),E28,0)/D28)&lt;0,ABS($C$9*IF(ISNUMBER(E28),E28,0)/D28)/(2*PI()*C28*1000000)*1000000,"—"),"—"),"—")</f>
        <v>—</v>
      </c>
      <c r="H144" s="212" t="str">
        <f aca="false">IFERROR(IF(AND(F28="YES",ISNUMBER(D90),D90&gt;0,ISNUMBER(D28),D28&gt;0),IF(($C$9*IF(ISNUMBER(E28),E28,0)/D28)&gt;0,1/((2*PI()*C28*1000000)*ABS($C$9*IF(ISNUMBER(E28),E28,0)/D28))*1000000000000,"—"),"—"),"—")</f>
        <v>—</v>
      </c>
      <c r="I144" s="213" t="str">
        <f aca="false">IFERROR(IF(AND(F28="YES",ISNUMBER(D90),D90&gt;0,ISNUMBER(D28),D28&gt;0),IF((D28*IF(ISNUMBER(E28),E28,0)/($C$9*(D28^2+IF(ISNUMBER(E28),E28,0)^2)))&lt;0,-1/((2*PI()*C28*1000000)*(D28*IF(ISNUMBER(E28),E28,0)/($C$9*(D28^2+IF(ISNUMBER(E28),E28,0)^2))))*1000000,"—"),"—"),"—")</f>
        <v>—</v>
      </c>
      <c r="J144" s="212" t="str">
        <f aca="false">IFERROR(IF(AND(F28="YES",ISNUMBER(D90),D90&gt;0,ISNUMBER(D28),D28&gt;0),IF((D28*IF(ISNUMBER(E28),E28,0)/($C$9*(D28^2+IF(ISNUMBER(E28),E28,0)^2)))&gt;0,(D28*IF(ISNUMBER(E28),E28,0)/($C$9*(D28^2+IF(ISNUMBER(E28),E28,0)^2)))/(2*PI()*C28*1000000)*1000000000000,"—"),"—"),"—")</f>
        <v>—</v>
      </c>
      <c r="AA144" s="201" t="n">
        <v>15000</v>
      </c>
    </row>
    <row r="145" customFormat="false" ht="12.75" hidden="false" customHeight="true" outlineLevel="0" collapsed="false">
      <c r="A145" s="1"/>
      <c r="B145" s="1"/>
      <c r="C145" s="1"/>
      <c r="D145" s="1"/>
      <c r="E145" s="1"/>
      <c r="F145" s="1"/>
      <c r="G145" s="1"/>
      <c r="H145" s="1"/>
      <c r="I145" s="1"/>
      <c r="J145" s="1"/>
      <c r="AA145" s="201" t="n">
        <v>16000</v>
      </c>
    </row>
    <row r="146" customFormat="false" ht="12.75" hidden="false" customHeight="true" outlineLevel="0" collapsed="false">
      <c r="A146" s="1"/>
      <c r="B146" s="208" t="s">
        <v>357</v>
      </c>
      <c r="C146" s="208"/>
      <c r="D146" s="208"/>
      <c r="E146" s="208"/>
      <c r="F146" s="208"/>
      <c r="G146" s="208"/>
      <c r="H146" s="208"/>
      <c r="I146" s="208"/>
      <c r="J146" s="208"/>
      <c r="AA146" s="201" t="n">
        <v>18000</v>
      </c>
    </row>
    <row r="147" customFormat="false" ht="12.75" hidden="false" customHeight="true" outlineLevel="0" collapsed="false">
      <c r="A147" s="1"/>
      <c r="B147" s="214" t="s">
        <v>358</v>
      </c>
      <c r="C147" s="209" t="s">
        <v>359</v>
      </c>
      <c r="D147" s="209"/>
      <c r="E147" s="209"/>
      <c r="F147" s="209"/>
      <c r="G147" s="209"/>
      <c r="H147" s="209"/>
      <c r="I147" s="209"/>
      <c r="J147" s="209"/>
      <c r="AA147" s="201" t="n">
        <v>20000</v>
      </c>
    </row>
    <row r="148" customFormat="false" ht="12.75" hidden="false" customHeight="true" outlineLevel="0" collapsed="false">
      <c r="A148" s="1"/>
      <c r="B148" s="214" t="s">
        <v>360</v>
      </c>
      <c r="C148" s="209" t="s">
        <v>361</v>
      </c>
      <c r="D148" s="209"/>
      <c r="E148" s="209"/>
      <c r="F148" s="209"/>
      <c r="G148" s="209"/>
      <c r="H148" s="209"/>
      <c r="I148" s="209"/>
      <c r="J148" s="209"/>
      <c r="AA148" s="201" t="n">
        <v>22000</v>
      </c>
    </row>
    <row r="149" customFormat="false" ht="12.75" hidden="false" customHeight="true" outlineLevel="0" collapsed="false">
      <c r="A149" s="1"/>
      <c r="B149" s="214" t="s">
        <v>362</v>
      </c>
      <c r="C149" s="209" t="s">
        <v>363</v>
      </c>
      <c r="D149" s="209"/>
      <c r="E149" s="209"/>
      <c r="F149" s="209"/>
      <c r="G149" s="209"/>
      <c r="H149" s="209"/>
      <c r="I149" s="209"/>
      <c r="J149" s="209"/>
      <c r="AA149" s="201" t="n">
        <v>24000</v>
      </c>
    </row>
    <row r="150" customFormat="false" ht="12.75" hidden="false" customHeight="true" outlineLevel="0" collapsed="false">
      <c r="A150" s="1"/>
      <c r="B150" s="214" t="s">
        <v>364</v>
      </c>
      <c r="C150" s="209" t="s">
        <v>365</v>
      </c>
      <c r="D150" s="209"/>
      <c r="E150" s="209"/>
      <c r="F150" s="209"/>
      <c r="G150" s="209"/>
      <c r="H150" s="209"/>
      <c r="I150" s="209"/>
      <c r="J150" s="209"/>
      <c r="AA150" s="201" t="n">
        <v>27000</v>
      </c>
    </row>
    <row r="151" customFormat="false" ht="12.75" hidden="false" customHeight="true" outlineLevel="0" collapsed="false">
      <c r="A151" s="1"/>
      <c r="B151" s="214" t="s">
        <v>366</v>
      </c>
      <c r="C151" s="209" t="s">
        <v>367</v>
      </c>
      <c r="D151" s="209"/>
      <c r="E151" s="209"/>
      <c r="F151" s="209"/>
      <c r="G151" s="209"/>
      <c r="H151" s="209"/>
      <c r="I151" s="209"/>
      <c r="J151" s="209"/>
      <c r="AA151" s="201" t="n">
        <v>30000</v>
      </c>
    </row>
    <row r="152" customFormat="false" ht="12.75" hidden="false" customHeight="true" outlineLevel="0" collapsed="false">
      <c r="A152" s="1"/>
      <c r="B152" s="214" t="s">
        <v>368</v>
      </c>
      <c r="C152" s="209" t="s">
        <v>369</v>
      </c>
      <c r="D152" s="209"/>
      <c r="E152" s="209"/>
      <c r="F152" s="209"/>
      <c r="G152" s="209"/>
      <c r="H152" s="209"/>
      <c r="I152" s="209"/>
      <c r="J152" s="209"/>
      <c r="AA152" s="201" t="n">
        <v>33000</v>
      </c>
    </row>
    <row r="153" customFormat="false" ht="12.75" hidden="false" customHeight="true" outlineLevel="0" collapsed="false">
      <c r="AA153" s="201" t="n">
        <v>36000</v>
      </c>
    </row>
    <row r="154" customFormat="false" ht="12.75" hidden="false" customHeight="true" outlineLevel="0" collapsed="false">
      <c r="AA154" s="201" t="n">
        <v>39000</v>
      </c>
    </row>
    <row r="155" customFormat="false" ht="12.75" hidden="false" customHeight="true" outlineLevel="0" collapsed="false">
      <c r="AA155" s="201" t="n">
        <v>43000</v>
      </c>
    </row>
    <row r="156" customFormat="false" ht="12.75" hidden="false" customHeight="true" outlineLevel="0" collapsed="false">
      <c r="AA156" s="201" t="n">
        <v>47000</v>
      </c>
    </row>
    <row r="157" customFormat="false" ht="12.75" hidden="false" customHeight="true" outlineLevel="0" collapsed="false">
      <c r="AA157" s="201" t="n">
        <v>51000</v>
      </c>
    </row>
    <row r="158" customFormat="false" ht="12.75" hidden="false" customHeight="true" outlineLevel="0" collapsed="false">
      <c r="AA158" s="201" t="n">
        <v>56000</v>
      </c>
    </row>
    <row r="159" customFormat="false" ht="12.75" hidden="false" customHeight="true" outlineLevel="0" collapsed="false">
      <c r="AA159" s="201" t="n">
        <v>62000</v>
      </c>
    </row>
    <row r="160" customFormat="false" ht="12.75" hidden="false" customHeight="true" outlineLevel="0" collapsed="false">
      <c r="AA160" s="201" t="n">
        <v>68000</v>
      </c>
    </row>
    <row r="161" customFormat="false" ht="12.75" hidden="false" customHeight="true" outlineLevel="0" collapsed="false">
      <c r="AA161" s="201" t="n">
        <v>75000</v>
      </c>
    </row>
    <row r="162" customFormat="false" ht="12.75" hidden="false" customHeight="true" outlineLevel="0" collapsed="false">
      <c r="AA162" s="201" t="n">
        <v>82000</v>
      </c>
    </row>
    <row r="163" customFormat="false" ht="12.75" hidden="false" customHeight="true" outlineLevel="0" collapsed="false">
      <c r="AA163" s="201" t="n">
        <v>91000</v>
      </c>
    </row>
    <row r="164" customFormat="false" ht="12.75" hidden="false" customHeight="true" outlineLevel="0" collapsed="false">
      <c r="AA164" s="201" t="n">
        <v>100000</v>
      </c>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K57"/>
  <sheetViews>
    <sheetView showFormulas="false" showGridLines="false" showRowColHeaders="true" showZeros="true" rightToLeft="false" tabSelected="true" showOutlineSymbols="true" defaultGridColor="true" view="normal" topLeftCell="A16" colorId="64" zoomScale="200" zoomScaleNormal="200" zoomScalePageLayoutView="100" workbookViewId="0">
      <selection pane="topLeft" activeCell="A45" activeCellId="0" sqref="A30:D45"/>
    </sheetView>
  </sheetViews>
  <sheetFormatPr defaultColWidth="8.6796875" defaultRowHeight="15" customHeight="false" zeroHeight="false" outlineLevelRow="0" outlineLevelCol="0"/>
  <cols>
    <col collapsed="false" customWidth="true" hidden="false" outlineLevel="0" max="1" min="1" style="1" width="23.86"/>
    <col collapsed="false" customWidth="true" hidden="false" outlineLevel="0" max="2" min="2" style="1" width="26.36"/>
    <col collapsed="false" customWidth="true" hidden="false" outlineLevel="0" max="3" min="3" style="1" width="9.8"/>
    <col collapsed="false" customWidth="true" hidden="false" outlineLevel="0" max="4" min="4" style="1" width="13.84"/>
    <col collapsed="false" customWidth="true" hidden="false" outlineLevel="0" max="5" min="5" style="1" width="10.36"/>
    <col collapsed="false" customWidth="true" hidden="false" outlineLevel="0" max="6" min="6" style="1" width="12.03"/>
    <col collapsed="false" customWidth="true" hidden="false" outlineLevel="0" max="7" min="7" style="1" width="16.62"/>
    <col collapsed="false" customWidth="true" hidden="false" outlineLevel="0" max="8" min="8" style="1" width="32.21"/>
    <col collapsed="false" customWidth="false" hidden="false" outlineLevel="0" max="16384" min="9" style="1" width="8.68"/>
  </cols>
  <sheetData>
    <row r="1" customFormat="false" ht="15" hidden="false" customHeight="true" outlineLevel="0" collapsed="false">
      <c r="A1" s="215" t="s">
        <v>370</v>
      </c>
      <c r="B1" s="215"/>
      <c r="C1" s="215"/>
      <c r="D1" s="215"/>
      <c r="E1" s="215"/>
      <c r="F1" s="215"/>
      <c r="G1" s="215"/>
      <c r="H1" s="215"/>
    </row>
    <row r="2" customFormat="false" ht="15" hidden="false" customHeight="true" outlineLevel="0" collapsed="false">
      <c r="A2" s="3" t="s">
        <v>1</v>
      </c>
      <c r="B2" s="3"/>
      <c r="C2" s="3"/>
      <c r="D2" s="3"/>
      <c r="E2" s="3"/>
      <c r="F2" s="3"/>
      <c r="G2" s="3"/>
      <c r="H2" s="3"/>
    </row>
    <row r="4" customFormat="false" ht="15" hidden="false" customHeight="true" outlineLevel="0" collapsed="false">
      <c r="A4" s="216" t="s">
        <v>371</v>
      </c>
      <c r="B4" s="216"/>
      <c r="C4" s="216"/>
      <c r="D4" s="216"/>
      <c r="E4" s="216"/>
      <c r="F4" s="216"/>
      <c r="G4" s="216"/>
      <c r="H4" s="216"/>
    </row>
    <row r="5" customFormat="false" ht="15" hidden="false" customHeight="true" outlineLevel="0" collapsed="false">
      <c r="A5" s="217" t="s">
        <v>372</v>
      </c>
      <c r="B5" s="218" t="n">
        <f aca="false">INDEX(Calculator!$B$29:$B$38,E5)</f>
        <v>13.3</v>
      </c>
      <c r="C5" s="219" t="s">
        <v>79</v>
      </c>
      <c r="D5" s="220" t="s">
        <v>373</v>
      </c>
      <c r="E5" s="221" t="n">
        <v>1</v>
      </c>
      <c r="F5" s="222" t="s">
        <v>374</v>
      </c>
      <c r="G5" s="223" t="str">
        <f aca="false">INDEX(Calculator!$E$29:$E$38,E5)</f>
        <v>★★★ EXCELLENT</v>
      </c>
      <c r="H5" s="224" t="str">
        <f aca="false">IFERROR("Score "&amp;TEXT(INDEX(Calculator!$D$29:$D$38,E5),"0.000")&amp;"  ·  "&amp;INDEX(Calculator!$G$29:$G$38,E5),"")</f>
        <v>Score 0.153  ·  Portable / SOTA</v>
      </c>
    </row>
    <row r="6" customFormat="false" ht="15" hidden="false" customHeight="true" outlineLevel="0" collapsed="false">
      <c r="A6" s="217" t="s">
        <v>78</v>
      </c>
      <c r="B6" s="218" t="n">
        <f aca="false">Calculator!D25</f>
        <v>9.96503496503497</v>
      </c>
      <c r="C6" s="219" t="s">
        <v>79</v>
      </c>
      <c r="D6" s="225" t="s">
        <v>375</v>
      </c>
      <c r="E6" s="225"/>
      <c r="F6" s="225"/>
      <c r="G6" s="225"/>
      <c r="H6" s="225"/>
    </row>
    <row r="7" customFormat="false" ht="15" hidden="false" customHeight="true" outlineLevel="0" collapsed="false">
      <c r="A7" s="217" t="s">
        <v>376</v>
      </c>
      <c r="B7" s="226" t="n">
        <v>5</v>
      </c>
      <c r="C7" s="219" t="s">
        <v>79</v>
      </c>
      <c r="D7" s="225" t="s">
        <v>377</v>
      </c>
      <c r="E7" s="225"/>
      <c r="F7" s="225"/>
      <c r="G7" s="225"/>
      <c r="H7" s="225"/>
    </row>
    <row r="8" customFormat="false" ht="15" hidden="false" customHeight="true" outlineLevel="0" collapsed="false">
      <c r="A8" s="217" t="s">
        <v>241</v>
      </c>
      <c r="B8" s="226" t="n">
        <v>1</v>
      </c>
      <c r="C8" s="219" t="s">
        <v>122</v>
      </c>
      <c r="D8" s="225" t="s">
        <v>378</v>
      </c>
      <c r="E8" s="225"/>
      <c r="F8" s="225"/>
      <c r="G8" s="225"/>
      <c r="H8" s="225"/>
    </row>
    <row r="9" customFormat="false" ht="15" hidden="false" customHeight="true" outlineLevel="0" collapsed="false">
      <c r="A9" s="217" t="s">
        <v>379</v>
      </c>
      <c r="B9" s="226" t="n">
        <v>58000000</v>
      </c>
      <c r="C9" s="219" t="s">
        <v>380</v>
      </c>
      <c r="D9" s="225" t="s">
        <v>381</v>
      </c>
      <c r="E9" s="225"/>
      <c r="F9" s="225"/>
      <c r="G9" s="225"/>
      <c r="H9" s="225"/>
    </row>
    <row r="10" customFormat="false" ht="25.5" hidden="false" customHeight="true" outlineLevel="0" collapsed="false">
      <c r="A10" s="217" t="s">
        <v>382</v>
      </c>
      <c r="B10" s="227" t="n">
        <f aca="false">MAX(11,2*INT(B5*B15/30/2)+1)</f>
        <v>11</v>
      </c>
      <c r="C10" s="219"/>
      <c r="D10" s="225" t="s">
        <v>383</v>
      </c>
      <c r="E10" s="225"/>
      <c r="F10" s="225"/>
      <c r="G10" s="225"/>
      <c r="H10" s="225"/>
    </row>
    <row r="11" customFormat="false" ht="25.5" hidden="false" customHeight="true" outlineLevel="0" collapsed="false">
      <c r="A11" s="217" t="s">
        <v>384</v>
      </c>
      <c r="B11" s="227" t="n">
        <f aca="false">IF(B6&gt;0,MAX(7,2*INT(B6*B15/30/2)+1),0)</f>
        <v>7</v>
      </c>
      <c r="C11" s="219"/>
      <c r="D11" s="225" t="s">
        <v>385</v>
      </c>
      <c r="E11" s="225"/>
      <c r="F11" s="225"/>
      <c r="G11" s="225"/>
      <c r="H11" s="225"/>
    </row>
    <row r="12" customFormat="false" ht="15" hidden="false" customHeight="true" outlineLevel="0" collapsed="false">
      <c r="A12" s="217" t="s">
        <v>386</v>
      </c>
      <c r="B12" s="226" t="s">
        <v>387</v>
      </c>
      <c r="C12" s="219"/>
      <c r="D12" s="225" t="s">
        <v>388</v>
      </c>
      <c r="E12" s="225"/>
      <c r="F12" s="225"/>
      <c r="G12" s="225"/>
      <c r="H12" s="225"/>
    </row>
    <row r="13" customFormat="false" ht="15" hidden="false" customHeight="true" outlineLevel="0" collapsed="false">
      <c r="A13" s="217" t="s">
        <v>389</v>
      </c>
      <c r="B13" s="226" t="n">
        <v>0.005</v>
      </c>
      <c r="C13" s="219" t="s">
        <v>380</v>
      </c>
      <c r="D13" s="225" t="s">
        <v>390</v>
      </c>
      <c r="E13" s="225"/>
      <c r="F13" s="225"/>
      <c r="G13" s="225"/>
      <c r="H13" s="225"/>
    </row>
    <row r="14" customFormat="false" ht="15" hidden="false" customHeight="true" outlineLevel="0" collapsed="false">
      <c r="A14" s="217" t="s">
        <v>391</v>
      </c>
      <c r="B14" s="226" t="n">
        <v>13</v>
      </c>
      <c r="C14" s="219" t="s">
        <v>392</v>
      </c>
      <c r="D14" s="225" t="s">
        <v>393</v>
      </c>
      <c r="E14" s="225"/>
      <c r="F14" s="225"/>
      <c r="G14" s="225"/>
      <c r="H14" s="225"/>
    </row>
    <row r="15" customFormat="false" ht="15" hidden="false" customHeight="true" outlineLevel="0" collapsed="false">
      <c r="A15" s="217" t="s">
        <v>394</v>
      </c>
      <c r="B15" s="227" t="n">
        <f aca="false">IFERROR(SUMPRODUCT(MAX((Calculator!E12:E22="YES")*Calculator!C12:C22)),28)</f>
        <v>14.35</v>
      </c>
      <c r="C15" s="219" t="s">
        <v>172</v>
      </c>
      <c r="D15" s="225" t="s">
        <v>395</v>
      </c>
      <c r="E15" s="225"/>
      <c r="F15" s="225"/>
      <c r="G15" s="225"/>
      <c r="H15" s="225"/>
    </row>
    <row r="16" customFormat="false" ht="15" hidden="false" customHeight="true" outlineLevel="0" collapsed="false">
      <c r="A16" s="217" t="s">
        <v>396</v>
      </c>
      <c r="B16" s="227" t="n">
        <f aca="false">IFERROR(SUMPRODUCT(MIN(IF(Calculator!E12:E22="YES",Calculator!B12:B22,1000000000))),7)</f>
        <v>7</v>
      </c>
      <c r="C16" s="219" t="s">
        <v>172</v>
      </c>
      <c r="D16" s="225" t="s">
        <v>397</v>
      </c>
      <c r="E16" s="225"/>
      <c r="F16" s="225"/>
      <c r="G16" s="225"/>
      <c r="H16" s="225"/>
    </row>
    <row r="17" customFormat="false" ht="15" hidden="false" customHeight="true" outlineLevel="0" collapsed="false">
      <c r="A17" s="217" t="s">
        <v>398</v>
      </c>
      <c r="B17" s="226" t="n">
        <v>0.5</v>
      </c>
      <c r="C17" s="219" t="s">
        <v>172</v>
      </c>
      <c r="D17" s="225" t="s">
        <v>399</v>
      </c>
      <c r="E17" s="225"/>
      <c r="F17" s="225"/>
      <c r="G17" s="225"/>
      <c r="H17" s="225"/>
    </row>
    <row r="18" customFormat="false" ht="15" hidden="false" customHeight="true" outlineLevel="0" collapsed="false">
      <c r="A18" s="217" t="s">
        <v>400</v>
      </c>
      <c r="B18" s="226" t="n">
        <v>50</v>
      </c>
      <c r="C18" s="219" t="s">
        <v>176</v>
      </c>
      <c r="D18" s="225" t="s">
        <v>401</v>
      </c>
      <c r="E18" s="225"/>
      <c r="F18" s="225"/>
      <c r="G18" s="225"/>
      <c r="H18" s="225"/>
    </row>
    <row r="19" customFormat="false" ht="15" hidden="false" customHeight="true" outlineLevel="0" collapsed="false">
      <c r="A19" s="217" t="s">
        <v>402</v>
      </c>
      <c r="B19" s="226" t="n">
        <v>100</v>
      </c>
      <c r="C19" s="219" t="s">
        <v>205</v>
      </c>
      <c r="D19" s="225" t="s">
        <v>403</v>
      </c>
      <c r="E19" s="225"/>
      <c r="F19" s="225"/>
      <c r="G19" s="225"/>
      <c r="H19" s="225"/>
    </row>
    <row r="21" customFormat="false" ht="15" hidden="false" customHeight="true" outlineLevel="0" collapsed="false">
      <c r="A21" s="216" t="s">
        <v>404</v>
      </c>
      <c r="B21" s="216"/>
      <c r="C21" s="216"/>
      <c r="D21" s="216"/>
      <c r="E21" s="216"/>
      <c r="F21" s="216"/>
      <c r="G21" s="216"/>
      <c r="H21" s="216"/>
    </row>
    <row r="22" customFormat="false" ht="15" hidden="false" customHeight="true" outlineLevel="0" collapsed="false">
      <c r="A22" s="228" t="s">
        <v>246</v>
      </c>
      <c r="B22" s="228" t="s">
        <v>405</v>
      </c>
      <c r="C22" s="228" t="s">
        <v>406</v>
      </c>
      <c r="D22" s="228" t="s">
        <v>407</v>
      </c>
      <c r="E22" s="228" t="s">
        <v>408</v>
      </c>
      <c r="F22" s="228" t="s">
        <v>409</v>
      </c>
      <c r="G22" s="228" t="s">
        <v>410</v>
      </c>
      <c r="H22" s="228" t="s">
        <v>411</v>
      </c>
    </row>
    <row r="23" customFormat="false" ht="15" hidden="false" customHeight="true" outlineLevel="0" collapsed="false">
      <c r="A23" s="229" t="s">
        <v>412</v>
      </c>
      <c r="B23" s="229" t="s">
        <v>413</v>
      </c>
      <c r="C23" s="230" t="n">
        <f aca="false">-(B5/2)</f>
        <v>-6.65</v>
      </c>
      <c r="D23" s="229" t="s">
        <v>414</v>
      </c>
      <c r="E23" s="230" t="n">
        <f aca="false">B7</f>
        <v>5</v>
      </c>
      <c r="F23" s="230" t="n">
        <f aca="false">(B5/2)</f>
        <v>6.65</v>
      </c>
      <c r="G23" s="229" t="s">
        <v>414</v>
      </c>
      <c r="H23" s="230" t="n">
        <f aca="false">B7</f>
        <v>5</v>
      </c>
    </row>
    <row r="24" customFormat="false" ht="15" hidden="false" customHeight="true" outlineLevel="0" collapsed="false">
      <c r="A24" s="229" t="s">
        <v>415</v>
      </c>
      <c r="B24" s="229" t="s">
        <v>416</v>
      </c>
      <c r="C24" s="230" t="n">
        <f aca="false">IF(B6&gt;0,-B6,0)</f>
        <v>-9.96503496503497</v>
      </c>
      <c r="D24" s="229" t="s">
        <v>414</v>
      </c>
      <c r="E24" s="230" t="n">
        <f aca="false">IF(B6&gt;0,B7,"")</f>
        <v>5</v>
      </c>
      <c r="F24" s="229" t="s">
        <v>414</v>
      </c>
      <c r="G24" s="229" t="s">
        <v>414</v>
      </c>
      <c r="H24" s="230" t="n">
        <f aca="false">IF(B6&gt;0,B7,"")</f>
        <v>5</v>
      </c>
    </row>
    <row r="26" customFormat="false" ht="25.5" hidden="false" customHeight="true" outlineLevel="0" collapsed="false">
      <c r="A26" s="231" t="s">
        <v>417</v>
      </c>
      <c r="B26" s="231"/>
      <c r="C26" s="231"/>
      <c r="D26" s="231"/>
      <c r="E26" s="231"/>
      <c r="F26" s="231"/>
      <c r="G26" s="231"/>
      <c r="H26" s="231"/>
    </row>
    <row r="28" customFormat="false" ht="15" hidden="false" customHeight="true" outlineLevel="0" collapsed="false">
      <c r="A28" s="216" t="s">
        <v>418</v>
      </c>
      <c r="B28" s="216"/>
      <c r="C28" s="216"/>
      <c r="D28" s="216"/>
      <c r="E28" s="216"/>
      <c r="F28" s="216"/>
      <c r="G28" s="216"/>
      <c r="H28" s="216"/>
    </row>
    <row r="29" customFormat="false" ht="15" hidden="false" customHeight="true" outlineLevel="0" collapsed="false">
      <c r="A29" s="231" t="s">
        <v>419</v>
      </c>
      <c r="B29" s="231"/>
      <c r="C29" s="231"/>
      <c r="D29" s="231"/>
      <c r="E29" s="231"/>
      <c r="F29" s="231"/>
      <c r="G29" s="231"/>
      <c r="H29" s="231"/>
    </row>
    <row r="30" customFormat="false" ht="15" hidden="false" customHeight="true" outlineLevel="0" collapsed="false">
      <c r="A30" s="179" t="str">
        <f aca="false">"CM Long Wire Antenna — NEC2 Model"</f>
        <v>CM Long Wire Antenna — NEC2 Model</v>
      </c>
      <c r="B30" s="179"/>
      <c r="C30" s="179"/>
      <c r="D30" s="179"/>
      <c r="E30" s="232" t="s">
        <v>420</v>
      </c>
      <c r="F30" s="232"/>
      <c r="G30" s="232"/>
      <c r="H30" s="232"/>
      <c r="I30" s="232"/>
      <c r="J30" s="232"/>
      <c r="K30" s="232"/>
    </row>
    <row r="31" customFormat="false" ht="15" hidden="false" customHeight="true" outlineLevel="0" collapsed="false">
      <c r="A31" s="179" t="str">
        <f aca="false">"CM Wire length: "&amp;TEXT(B5,"0.0")&amp;" m  |  Counterpoise: "&amp;TEXT(B6,"0.0")&amp;" m  |  Height: "&amp;TEXT(B7,"0.0")&amp;" m"</f>
        <v>CM Wire length: 13.3 m  |  Counterpoise: 10.0 m  |  Height: 5.0 m</v>
      </c>
      <c r="B31" s="179"/>
      <c r="C31" s="179"/>
      <c r="D31" s="179"/>
      <c r="E31" s="232" t="s">
        <v>421</v>
      </c>
      <c r="F31" s="232"/>
      <c r="G31" s="232"/>
      <c r="H31" s="232"/>
      <c r="I31" s="232"/>
      <c r="J31" s="232"/>
      <c r="K31" s="232"/>
    </row>
    <row r="32" customFormat="false" ht="15" hidden="false" customHeight="true" outlineLevel="0" collapsed="false">
      <c r="A32" s="179" t="str">
        <f aca="false">"CM Wire diameter: "&amp;TEXT(B8,"0.0")&amp;" mm  |  Conductivity: "&amp;TEXT(B9,"0.00E+0")&amp;" S/m"</f>
        <v>CM Wire diameter: 1.0 mm  |  Conductivity: 5.80E+7 S/m</v>
      </c>
      <c r="B32" s="179"/>
      <c r="C32" s="179"/>
      <c r="D32" s="179"/>
      <c r="E32" s="232" t="s">
        <v>422</v>
      </c>
      <c r="F32" s="232"/>
      <c r="G32" s="232"/>
      <c r="H32" s="232"/>
      <c r="I32" s="232"/>
      <c r="J32" s="232"/>
      <c r="K32" s="232"/>
    </row>
    <row r="33" customFormat="false" ht="15" hidden="false" customHeight="true" outlineLevel="0" collapsed="false">
      <c r="A33" s="179" t="str">
        <f aca="false">"CM Frequency sweep: "&amp;TEXT(B16,"0.00")&amp;" – "&amp;TEXT(B15,"0.00")&amp;" MHz  step "&amp;TEXT(B17,"0.00")&amp;" MHz"</f>
        <v>CM Frequency sweep: 7.00 – 14.35 MHz  step 0.50 MHz</v>
      </c>
      <c r="B33" s="179"/>
      <c r="C33" s="179"/>
      <c r="D33" s="179"/>
      <c r="E33" s="232" t="s">
        <v>423</v>
      </c>
      <c r="F33" s="232"/>
      <c r="G33" s="232"/>
      <c r="H33" s="232"/>
      <c r="I33" s="232"/>
      <c r="J33" s="232"/>
      <c r="K33" s="232"/>
    </row>
    <row r="34" customFormat="false" ht="15" hidden="false" customHeight="true" outlineLevel="0" collapsed="false">
      <c r="A34" s="179" t="str">
        <f aca="false">"CM Generated by Long Wire Antenna Calculator – LU3VEA"</f>
        <v>CM Generated by Long Wire Antenna Calculator – LU3VEA</v>
      </c>
      <c r="B34" s="179"/>
      <c r="C34" s="179"/>
      <c r="D34" s="179"/>
      <c r="E34" s="232" t="s">
        <v>424</v>
      </c>
      <c r="F34" s="232"/>
      <c r="G34" s="232"/>
      <c r="H34" s="232"/>
      <c r="I34" s="232"/>
      <c r="J34" s="232"/>
      <c r="K34" s="232"/>
    </row>
    <row r="35" customFormat="false" ht="15" hidden="false" customHeight="true" outlineLevel="0" collapsed="false">
      <c r="A35" s="179" t="str">
        <f aca="false">"CE"</f>
        <v>CE</v>
      </c>
      <c r="B35" s="179"/>
      <c r="C35" s="179"/>
      <c r="D35" s="179"/>
      <c r="E35" s="232" t="s">
        <v>425</v>
      </c>
      <c r="F35" s="232"/>
      <c r="G35" s="232"/>
      <c r="H35" s="232"/>
      <c r="I35" s="232"/>
      <c r="J35" s="232"/>
      <c r="K35" s="232"/>
    </row>
    <row r="36" customFormat="false" ht="15" hidden="false" customHeight="true" outlineLevel="0" collapsed="false">
      <c r="A36" s="179" t="str">
        <f aca="false">"GW 1 "&amp;SUBSTITUTE(TEXT(B10,"0"),",",".")&amp;" "&amp;SUBSTITUTE(TEXT(-B5/2,"0.0000"),",",".")&amp;" 0.0000 "&amp;SUBSTITUTE(TEXT(B7,"0.0000"),",",".")&amp;" "&amp;SUBSTITUTE(TEXT(B5/2,"0.0000"),",",".")&amp;" 0.0000 "&amp;SUBSTITUTE(TEXT(B7,"0.0000"),",",".")&amp;" "&amp;SUBSTITUTE(TEXT(B8/2000,"0.00000"),",",".")</f>
        <v>GW 1 11 -6.6500 0.0000 5.0000 6.6500 0.0000 5.0000 0.00050</v>
      </c>
      <c r="B36" s="179"/>
      <c r="C36" s="179"/>
      <c r="D36" s="179"/>
      <c r="E36" s="232" t="s">
        <v>426</v>
      </c>
      <c r="F36" s="232"/>
      <c r="G36" s="232"/>
      <c r="H36" s="232"/>
      <c r="I36" s="232"/>
      <c r="J36" s="232"/>
      <c r="K36" s="232"/>
    </row>
    <row r="37" customFormat="false" ht="15" hidden="false" customHeight="true" outlineLevel="0" collapsed="false">
      <c r="A37" s="179" t="str">
        <f aca="false">IF(B6&gt;0,"GW 2 "&amp;SUBSTITUTE(TEXT(B11,"0"),",",".")&amp;" "&amp;SUBSTITUTE(TEXT(-B6,"0.0000"),",",".")&amp;" 0.0000 "&amp;SUBSTITUTE(TEXT(B7,"0.0000"),",",".")&amp;" 0.0000 0.0000 "&amp;SUBSTITUTE(TEXT(B7,"0.0000"),",",".")&amp;" "&amp;SUBSTITUTE(TEXT(B8/2000,"0.00000"),",","."),"CM (no counterpoise — D6=0)")</f>
        <v>GW 2 7 -9.9650 0.0000 5.0000 0.0000 0.0000 5.0000 0.00050</v>
      </c>
      <c r="B37" s="179"/>
      <c r="C37" s="179"/>
      <c r="D37" s="179"/>
      <c r="E37" s="232" t="s">
        <v>427</v>
      </c>
      <c r="F37" s="232"/>
      <c r="G37" s="232"/>
      <c r="H37" s="232"/>
      <c r="I37" s="232"/>
      <c r="J37" s="232"/>
      <c r="K37" s="232"/>
    </row>
    <row r="38" customFormat="false" ht="15" hidden="false" customHeight="true" outlineLevel="0" collapsed="false">
      <c r="A38" s="179" t="str">
        <f aca="false">IF(B12="Free Space","GE 0","GE 1")</f>
        <v>GE 1</v>
      </c>
      <c r="B38" s="179"/>
      <c r="C38" s="179"/>
      <c r="D38" s="179"/>
      <c r="E38" s="232" t="s">
        <v>428</v>
      </c>
      <c r="F38" s="232"/>
      <c r="G38" s="232"/>
      <c r="H38" s="232"/>
      <c r="I38" s="232"/>
      <c r="J38" s="232"/>
      <c r="K38" s="232"/>
    </row>
    <row r="39" customFormat="false" ht="25.5" hidden="false" customHeight="true" outlineLevel="0" collapsed="false">
      <c r="A39" s="179" t="str">
        <f aca="false">"LD 5 1 1 "&amp;SUBSTITUTE(TEXT(B10,"0"),",",".")&amp;" "&amp;SUBSTITUTE(TEXT(B9,"0.000E+00"),",",".")</f>
        <v>LD 5 1 1 11 5.800E+07</v>
      </c>
      <c r="B39" s="179"/>
      <c r="C39" s="179"/>
      <c r="D39" s="179"/>
      <c r="E39" s="225" t="s">
        <v>429</v>
      </c>
      <c r="F39" s="225"/>
      <c r="G39" s="225"/>
      <c r="H39" s="225"/>
      <c r="I39" s="225"/>
      <c r="J39" s="225"/>
      <c r="K39" s="225"/>
    </row>
    <row r="40" customFormat="false" ht="15" hidden="false" customHeight="true" outlineLevel="0" collapsed="false">
      <c r="A40" s="179" t="str">
        <f aca="false">IF(B6&gt;0,"LD 5 2 1 "&amp;SUBSTITUTE(TEXT(B11,"0"),",",".")&amp;" "&amp;SUBSTITUTE(TEXT(B9,"0.000E+00"),",","."),"CM (no LD 5 for counterpoise — no counterpoise)")</f>
        <v>LD 5 2 1 7 5.800E+07</v>
      </c>
      <c r="B40" s="179"/>
      <c r="C40" s="179"/>
      <c r="D40" s="179"/>
      <c r="E40" s="225" t="s">
        <v>430</v>
      </c>
      <c r="F40" s="225"/>
      <c r="G40" s="225"/>
      <c r="H40" s="225"/>
      <c r="I40" s="225"/>
      <c r="J40" s="225"/>
      <c r="K40" s="225"/>
    </row>
    <row r="41" customFormat="false" ht="15" hidden="false" customHeight="true" outlineLevel="0" collapsed="false">
      <c r="A41" s="179" t="str">
        <f aca="false">"EX 0 1 "&amp;SUBSTITUTE(TEXT(INT(B10/2)+1,"0"),",",".")&amp;" 0 1 0"</f>
        <v>EX 0 1 6 0 1 0</v>
      </c>
      <c r="B41" s="179"/>
      <c r="C41" s="179"/>
      <c r="D41" s="179"/>
      <c r="E41" s="232" t="s">
        <v>431</v>
      </c>
      <c r="F41" s="232"/>
      <c r="G41" s="232"/>
      <c r="H41" s="232"/>
      <c r="I41" s="232"/>
      <c r="J41" s="232"/>
      <c r="K41" s="232"/>
    </row>
    <row r="42" customFormat="false" ht="15" hidden="false" customHeight="true" outlineLevel="0" collapsed="false">
      <c r="A42" s="179" t="str">
        <f aca="false">IF(B12="Free Space","GN -1",IF(B12="Perfect Ground","GN 1","GN 2 0 0 0 "&amp;SUBSTITUTE(TEXT(B14,"0.0"),",",".")&amp;" "&amp;SUBSTITUTE(TEXT(B13,"0.000"),",",".")))</f>
        <v>GN 2 0 0 0 13.0 0.005</v>
      </c>
      <c r="B42" s="179"/>
      <c r="C42" s="179"/>
      <c r="D42" s="179"/>
      <c r="E42" s="232" t="s">
        <v>432</v>
      </c>
      <c r="F42" s="232"/>
      <c r="G42" s="232"/>
      <c r="H42" s="232"/>
      <c r="I42" s="232"/>
      <c r="J42" s="232"/>
      <c r="K42" s="232"/>
    </row>
    <row r="43" customFormat="false" ht="15" hidden="false" customHeight="true" outlineLevel="0" collapsed="false">
      <c r="A43" s="179" t="str">
        <f aca="false">"FR 0 "&amp;SUBSTITUTE(TEXT(CEILING((B15-B16)/B17,1)+1,"0"),",",".")&amp;" 0 0 "&amp;SUBSTITUTE(TEXT(B16,"0.000"),",",".")&amp;" "&amp;SUBSTITUTE(TEXT(B17,"0.000"),",",".")</f>
        <v>FR 0 16 0 0 7.000 0.500</v>
      </c>
      <c r="B43" s="179"/>
      <c r="C43" s="179"/>
      <c r="D43" s="179"/>
      <c r="E43" s="232" t="s">
        <v>433</v>
      </c>
      <c r="F43" s="232"/>
      <c r="G43" s="232"/>
      <c r="H43" s="232"/>
      <c r="I43" s="232"/>
      <c r="J43" s="232"/>
      <c r="K43" s="232"/>
    </row>
    <row r="44" customFormat="false" ht="15" hidden="false" customHeight="true" outlineLevel="0" collapsed="false">
      <c r="A44" s="179" t="str">
        <f aca="false">"RP 0 1 361 1000 90 0 0 1"</f>
        <v>RP 0 1 361 1000 90 0 0 1</v>
      </c>
      <c r="B44" s="179"/>
      <c r="C44" s="179"/>
      <c r="D44" s="179"/>
      <c r="E44" s="232" t="s">
        <v>434</v>
      </c>
      <c r="F44" s="232"/>
      <c r="G44" s="232"/>
      <c r="H44" s="232"/>
      <c r="I44" s="232"/>
      <c r="J44" s="232"/>
      <c r="K44" s="232"/>
    </row>
    <row r="45" customFormat="false" ht="15" hidden="false" customHeight="true" outlineLevel="0" collapsed="false">
      <c r="A45" s="179" t="str">
        <f aca="false">"EN"</f>
        <v>EN</v>
      </c>
      <c r="B45" s="179"/>
      <c r="C45" s="179"/>
      <c r="D45" s="179"/>
      <c r="E45" s="232" t="s">
        <v>435</v>
      </c>
      <c r="F45" s="232"/>
      <c r="G45" s="232"/>
      <c r="H45" s="232"/>
      <c r="I45" s="232"/>
      <c r="J45" s="232"/>
      <c r="K45" s="232"/>
    </row>
    <row r="46" customFormat="false" ht="15" hidden="false" customHeight="true" outlineLevel="0" collapsed="false">
      <c r="A46" s="233"/>
      <c r="B46" s="233"/>
      <c r="C46" s="233"/>
      <c r="D46" s="233"/>
      <c r="E46" s="233"/>
      <c r="F46" s="233"/>
      <c r="G46" s="233"/>
      <c r="H46" s="233"/>
    </row>
    <row r="47" customFormat="false" ht="15" hidden="false" customHeight="true" outlineLevel="0" collapsed="false">
      <c r="A47" s="233"/>
      <c r="B47" s="233"/>
      <c r="C47" s="233"/>
      <c r="D47" s="233"/>
      <c r="E47" s="233"/>
      <c r="F47" s="233"/>
      <c r="G47" s="233"/>
      <c r="H47" s="233"/>
    </row>
    <row r="48" customFormat="false" ht="15" hidden="false" customHeight="true" outlineLevel="0" collapsed="false">
      <c r="A48" s="216" t="s">
        <v>436</v>
      </c>
      <c r="B48" s="216"/>
      <c r="C48" s="233"/>
      <c r="D48" s="233"/>
      <c r="E48" s="233"/>
      <c r="F48" s="233"/>
      <c r="G48" s="233"/>
      <c r="H48" s="233"/>
    </row>
    <row r="49" customFormat="false" ht="15" hidden="false" customHeight="true" outlineLevel="0" collapsed="false">
      <c r="A49" s="234" t="s">
        <v>437</v>
      </c>
      <c r="B49" s="234"/>
      <c r="C49" s="235"/>
      <c r="D49" s="235"/>
      <c r="E49" s="235"/>
      <c r="F49" s="235"/>
      <c r="G49" s="235"/>
      <c r="H49" s="235"/>
    </row>
    <row r="50" customFormat="false" ht="15" hidden="false" customHeight="true" outlineLevel="0" collapsed="false">
      <c r="A50" s="8" t="s">
        <v>438</v>
      </c>
      <c r="B50" s="8"/>
      <c r="C50" s="236" t="s">
        <v>439</v>
      </c>
      <c r="D50" s="236"/>
      <c r="E50" s="236"/>
      <c r="F50" s="236"/>
      <c r="G50" s="236"/>
      <c r="H50" s="236"/>
    </row>
    <row r="51" customFormat="false" ht="15" hidden="false" customHeight="true" outlineLevel="0" collapsed="false">
      <c r="A51" s="8" t="s">
        <v>440</v>
      </c>
      <c r="B51" s="8"/>
      <c r="C51" s="236" t="s">
        <v>441</v>
      </c>
      <c r="D51" s="236"/>
      <c r="E51" s="236"/>
      <c r="F51" s="236"/>
      <c r="G51" s="236"/>
      <c r="H51" s="236"/>
    </row>
    <row r="52" customFormat="false" ht="15" hidden="false" customHeight="true" outlineLevel="0" collapsed="false">
      <c r="A52" s="8" t="s">
        <v>442</v>
      </c>
      <c r="B52" s="8"/>
      <c r="C52" s="236" t="s">
        <v>443</v>
      </c>
      <c r="D52" s="236"/>
      <c r="E52" s="236"/>
      <c r="F52" s="236"/>
      <c r="G52" s="236"/>
      <c r="H52" s="236"/>
    </row>
    <row r="53" customFormat="false" ht="15" hidden="false" customHeight="true" outlineLevel="0" collapsed="false">
      <c r="A53" s="8" t="s">
        <v>444</v>
      </c>
      <c r="B53" s="8"/>
      <c r="C53" s="236" t="s">
        <v>445</v>
      </c>
      <c r="D53" s="236"/>
      <c r="E53" s="236"/>
      <c r="F53" s="236"/>
      <c r="G53" s="236"/>
      <c r="H53" s="236"/>
    </row>
    <row r="54" customFormat="false" ht="15" hidden="false" customHeight="true" outlineLevel="0" collapsed="false">
      <c r="A54" s="8" t="s">
        <v>446</v>
      </c>
      <c r="B54" s="8"/>
      <c r="C54" s="236" t="s">
        <v>447</v>
      </c>
      <c r="D54" s="236"/>
      <c r="E54" s="236"/>
      <c r="F54" s="236"/>
      <c r="G54" s="236"/>
      <c r="H54" s="236"/>
    </row>
    <row r="55" customFormat="false" ht="15" hidden="false" customHeight="true" outlineLevel="0" collapsed="false">
      <c r="A55" s="8" t="s">
        <v>448</v>
      </c>
      <c r="B55" s="8"/>
      <c r="C55" s="236" t="s">
        <v>449</v>
      </c>
      <c r="D55" s="236"/>
      <c r="E55" s="236"/>
      <c r="F55" s="236"/>
      <c r="G55" s="236"/>
      <c r="H55" s="236"/>
    </row>
    <row r="56" customFormat="false" ht="124.5" hidden="false" customHeight="true" outlineLevel="0" collapsed="false">
      <c r="A56" s="237" t="s">
        <v>450</v>
      </c>
      <c r="C56" s="238" t="s">
        <v>451</v>
      </c>
    </row>
    <row r="57" customFormat="false" ht="124.5" hidden="false" customHeight="true" outlineLevel="0" collapsed="false">
      <c r="A57" s="237" t="s">
        <v>452</v>
      </c>
      <c r="C57" s="238" t="s">
        <v>453</v>
      </c>
    </row>
  </sheetData>
  <mergeCells count="73">
    <mergeCell ref="A1:H1"/>
    <mergeCell ref="A2:H2"/>
    <mergeCell ref="A4:H4"/>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A21:H21"/>
    <mergeCell ref="A26:H26"/>
    <mergeCell ref="A28:H28"/>
    <mergeCell ref="A29:H29"/>
    <mergeCell ref="A30:D30"/>
    <mergeCell ref="E30:K30"/>
    <mergeCell ref="A31:D31"/>
    <mergeCell ref="E31:K31"/>
    <mergeCell ref="A32:D32"/>
    <mergeCell ref="E32:K32"/>
    <mergeCell ref="A33:D33"/>
    <mergeCell ref="E33:K33"/>
    <mergeCell ref="A34:D34"/>
    <mergeCell ref="E34:K34"/>
    <mergeCell ref="A35:D35"/>
    <mergeCell ref="E35:K35"/>
    <mergeCell ref="A36:D36"/>
    <mergeCell ref="E36:K36"/>
    <mergeCell ref="A37:D37"/>
    <mergeCell ref="E37:K37"/>
    <mergeCell ref="A38:D38"/>
    <mergeCell ref="E38:K38"/>
    <mergeCell ref="A39:D39"/>
    <mergeCell ref="E39:K39"/>
    <mergeCell ref="A40:D40"/>
    <mergeCell ref="E40:K40"/>
    <mergeCell ref="A41:D41"/>
    <mergeCell ref="E41:K41"/>
    <mergeCell ref="A42:D42"/>
    <mergeCell ref="E42:K42"/>
    <mergeCell ref="A43:D43"/>
    <mergeCell ref="E43:K43"/>
    <mergeCell ref="A44:D44"/>
    <mergeCell ref="E44:K44"/>
    <mergeCell ref="A45:D45"/>
    <mergeCell ref="E45:K45"/>
    <mergeCell ref="A46:H46"/>
    <mergeCell ref="A47:B47"/>
    <mergeCell ref="C47:D47"/>
    <mergeCell ref="E47:H47"/>
    <mergeCell ref="A48:B48"/>
    <mergeCell ref="C48:H48"/>
    <mergeCell ref="A49:B49"/>
    <mergeCell ref="C49:H49"/>
    <mergeCell ref="A50:B50"/>
    <mergeCell ref="C50:H50"/>
    <mergeCell ref="A51:B51"/>
    <mergeCell ref="C51:H51"/>
    <mergeCell ref="A52:B52"/>
    <mergeCell ref="C52:H52"/>
    <mergeCell ref="A53:B53"/>
    <mergeCell ref="C53:H53"/>
    <mergeCell ref="A54:B54"/>
    <mergeCell ref="C54:H54"/>
    <mergeCell ref="A55:B55"/>
    <mergeCell ref="C55:H55"/>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1" sqref="A30:D45 A2"/>
    </sheetView>
  </sheetViews>
  <sheetFormatPr defaultColWidth="8.6796875" defaultRowHeight="15" customHeight="false" zeroHeight="false" outlineLevelRow="0" outlineLevelCol="0"/>
  <cols>
    <col collapsed="false" customWidth="true" hidden="false" outlineLevel="0" max="1" min="1" style="239" width="9.6"/>
    <col collapsed="false" customWidth="true" hidden="false" outlineLevel="0" max="12" min="2" style="239" width="9"/>
    <col collapsed="false" customWidth="true" hidden="false" outlineLevel="0" max="13" min="13" style="239" width="13"/>
    <col collapsed="false" customWidth="true" hidden="false" outlineLevel="0" max="14" min="14" style="239" width="8"/>
    <col collapsed="false" customWidth="true" hidden="false" outlineLevel="0" max="15" min="15" style="239" width="16"/>
    <col collapsed="false" customWidth="false" hidden="false" outlineLevel="0" max="16384" min="16" style="239" width="8.68"/>
  </cols>
  <sheetData>
    <row r="1" customFormat="false" ht="15" hidden="false" customHeight="true" outlineLevel="0" collapsed="false">
      <c r="A1" s="240" t="s">
        <v>454</v>
      </c>
      <c r="B1" s="240"/>
      <c r="C1" s="240"/>
      <c r="D1" s="240"/>
      <c r="E1" s="240"/>
      <c r="F1" s="240"/>
      <c r="G1" s="240"/>
      <c r="H1" s="240"/>
      <c r="I1" s="240"/>
      <c r="J1" s="240"/>
      <c r="K1" s="240"/>
      <c r="L1" s="240"/>
      <c r="M1" s="240"/>
      <c r="N1" s="240"/>
      <c r="O1" s="240"/>
    </row>
    <row r="2" customFormat="false" ht="15" hidden="false" customHeight="true" outlineLevel="0" collapsed="false">
      <c r="A2" s="3" t="s">
        <v>1</v>
      </c>
      <c r="B2" s="3"/>
      <c r="C2" s="3"/>
      <c r="D2" s="3"/>
      <c r="E2" s="3"/>
      <c r="F2" s="3"/>
      <c r="G2" s="3"/>
      <c r="H2" s="3"/>
      <c r="I2" s="241"/>
      <c r="J2" s="241"/>
      <c r="K2" s="241"/>
      <c r="L2" s="241"/>
      <c r="M2" s="241"/>
      <c r="N2" s="241"/>
      <c r="O2" s="241"/>
    </row>
    <row r="3" customFormat="false" ht="15" hidden="false" customHeight="true" outlineLevel="0" collapsed="false">
      <c r="A3" s="241"/>
      <c r="B3" s="241"/>
      <c r="C3" s="241"/>
      <c r="D3" s="241"/>
      <c r="E3" s="241"/>
      <c r="F3" s="241"/>
      <c r="G3" s="241"/>
      <c r="H3" s="241"/>
      <c r="I3" s="241"/>
      <c r="J3" s="241"/>
      <c r="K3" s="241"/>
      <c r="L3" s="241"/>
      <c r="M3" s="241"/>
      <c r="N3" s="241"/>
      <c r="O3" s="241"/>
    </row>
    <row r="4" customFormat="false" ht="33.75" hidden="false" customHeight="true" outlineLevel="0" collapsed="false">
      <c r="A4" s="242" t="s">
        <v>455</v>
      </c>
      <c r="B4" s="242"/>
      <c r="C4" s="242"/>
      <c r="D4" s="242"/>
      <c r="E4" s="242"/>
      <c r="F4" s="242"/>
      <c r="G4" s="242"/>
      <c r="H4" s="242"/>
      <c r="I4" s="242"/>
      <c r="J4" s="242"/>
      <c r="K4" s="242"/>
      <c r="L4" s="242"/>
      <c r="M4" s="242"/>
      <c r="N4" s="242"/>
      <c r="O4" s="242"/>
    </row>
    <row r="5" customFormat="false" ht="15" hidden="false" customHeight="true" outlineLevel="0" collapsed="false">
      <c r="A5" s="243" t="s">
        <v>456</v>
      </c>
      <c r="B5" s="243"/>
      <c r="C5" s="243"/>
      <c r="D5" s="243"/>
      <c r="E5" s="243"/>
      <c r="F5" s="243"/>
      <c r="G5" s="243"/>
      <c r="H5" s="243"/>
      <c r="I5" s="243"/>
      <c r="J5" s="243"/>
      <c r="K5" s="243"/>
      <c r="L5" s="243"/>
      <c r="M5" s="243"/>
      <c r="N5" s="243"/>
      <c r="O5" s="243"/>
    </row>
    <row r="6" customFormat="false" ht="36.75" hidden="false" customHeight="true" outlineLevel="0" collapsed="false">
      <c r="A6" s="244" t="s">
        <v>457</v>
      </c>
      <c r="B6" s="244" t="s">
        <v>458</v>
      </c>
      <c r="C6" s="244" t="s">
        <v>459</v>
      </c>
      <c r="D6" s="244" t="s">
        <v>460</v>
      </c>
      <c r="E6" s="244" t="s">
        <v>461</v>
      </c>
      <c r="F6" s="244" t="s">
        <v>462</v>
      </c>
      <c r="G6" s="244" t="s">
        <v>463</v>
      </c>
      <c r="H6" s="244" t="s">
        <v>464</v>
      </c>
      <c r="I6" s="244" t="s">
        <v>465</v>
      </c>
      <c r="J6" s="244" t="s">
        <v>466</v>
      </c>
      <c r="K6" s="244" t="s">
        <v>467</v>
      </c>
      <c r="L6" s="244" t="s">
        <v>468</v>
      </c>
      <c r="M6" s="244" t="s">
        <v>469</v>
      </c>
      <c r="N6" s="244" t="s">
        <v>33</v>
      </c>
      <c r="O6" s="244" t="s">
        <v>470</v>
      </c>
    </row>
    <row r="7" customFormat="false" ht="15" hidden="false" customHeight="true" outlineLevel="0" collapsed="false">
      <c r="A7" s="245" t="n">
        <v>5</v>
      </c>
      <c r="B7" s="246"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46"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46"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46"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46"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46"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46"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46"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46"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46"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46"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46" t="n">
        <f aca="false">MIN(B7:L7)</f>
        <v>0</v>
      </c>
      <c r="N7" s="246" t="n">
        <f aca="false">SUMPRODUCT(($M$7:$M$557&gt;M7)*1)+SUMPRODUCT(($M$7:$M$557=M7)*(ROW($M$7:$M$557)&lt;ROW(M7)))+1</f>
        <v>383</v>
      </c>
      <c r="O7" s="246" t="str">
        <f aca="false">IF(M7&gt;=0.13,"★★★ EXCELLENT",IF(M7&gt;=0.12,"★★  GOOD",IF(M7&gt;=0.07,"★  FAIR",IF(M7&gt;=0.025,"⚠  MARGINAL","✗  AVOID"))))</f>
        <v>✗  AVOID</v>
      </c>
    </row>
    <row r="8" customFormat="false" ht="15" hidden="false" customHeight="true" outlineLevel="0" collapsed="false">
      <c r="A8" s="247" t="n">
        <v>5.1</v>
      </c>
      <c r="B8" s="248"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48"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48"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48"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48"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48"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48"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48"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48"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48"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48"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48" t="n">
        <f aca="false">MIN(B8:L8)</f>
        <v>0</v>
      </c>
      <c r="N8" s="248" t="n">
        <f aca="false">SUMPRODUCT(($M$7:$M$557&gt;M8)*1)+SUMPRODUCT(($M$7:$M$557=M8)*(ROW($M$7:$M$557)&lt;ROW(M8)))+1</f>
        <v>384</v>
      </c>
      <c r="O8" s="248" t="str">
        <f aca="false">IF(M8&gt;=0.13,"★★★ EXCELLENT",IF(M8&gt;=0.12,"★★  GOOD",IF(M8&gt;=0.07,"★  FAIR",IF(M8&gt;=0.025,"⚠  MARGINAL","✗  AVOID"))))</f>
        <v>✗  AVOID</v>
      </c>
    </row>
    <row r="9" customFormat="false" ht="15" hidden="false" customHeight="true" outlineLevel="0" collapsed="false">
      <c r="A9" s="245" t="n">
        <v>5.2</v>
      </c>
      <c r="B9" s="246"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46"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46"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46"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46"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46"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46"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46"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46"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46"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46"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46" t="n">
        <f aca="false">MIN(B9:L9)</f>
        <v>0</v>
      </c>
      <c r="N9" s="246" t="n">
        <f aca="false">SUMPRODUCT(($M$7:$M$557&gt;M9)*1)+SUMPRODUCT(($M$7:$M$557=M9)*(ROW($M$7:$M$557)&lt;ROW(M9)))+1</f>
        <v>385</v>
      </c>
      <c r="O9" s="246" t="str">
        <f aca="false">IF(M9&gt;=0.13,"★★★ EXCELLENT",IF(M9&gt;=0.12,"★★  GOOD",IF(M9&gt;=0.07,"★  FAIR",IF(M9&gt;=0.025,"⚠  MARGINAL","✗  AVOID"))))</f>
        <v>✗  AVOID</v>
      </c>
    </row>
    <row r="10" customFormat="false" ht="15" hidden="false" customHeight="true" outlineLevel="0" collapsed="false">
      <c r="A10" s="247" t="n">
        <v>5.3</v>
      </c>
      <c r="B10" s="248"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48"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48"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48"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48"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48"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48"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48"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48"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48"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48"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48" t="n">
        <f aca="false">MIN(B10:L10)</f>
        <v>0</v>
      </c>
      <c r="N10" s="248" t="n">
        <f aca="false">SUMPRODUCT(($M$7:$M$557&gt;M10)*1)+SUMPRODUCT(($M$7:$M$557=M10)*(ROW($M$7:$M$557)&lt;ROW(M10)))+1</f>
        <v>386</v>
      </c>
      <c r="O10" s="248" t="str">
        <f aca="false">IF(M10&gt;=0.13,"★★★ EXCELLENT",IF(M10&gt;=0.12,"★★  GOOD",IF(M10&gt;=0.07,"★  FAIR",IF(M10&gt;=0.025,"⚠  MARGINAL","✗  AVOID"))))</f>
        <v>✗  AVOID</v>
      </c>
    </row>
    <row r="11" customFormat="false" ht="15" hidden="false" customHeight="true" outlineLevel="0" collapsed="false">
      <c r="A11" s="245" t="n">
        <v>5.4</v>
      </c>
      <c r="B11" s="246"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46"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46"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46"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46"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46"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46"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46"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46"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46"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46"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46" t="n">
        <f aca="false">MIN(B11:L11)</f>
        <v>0</v>
      </c>
      <c r="N11" s="246" t="n">
        <f aca="false">SUMPRODUCT(($M$7:$M$557&gt;M11)*1)+SUMPRODUCT(($M$7:$M$557=M11)*(ROW($M$7:$M$557)&lt;ROW(M11)))+1</f>
        <v>387</v>
      </c>
      <c r="O11" s="246" t="str">
        <f aca="false">IF(M11&gt;=0.13,"★★★ EXCELLENT",IF(M11&gt;=0.12,"★★  GOOD",IF(M11&gt;=0.07,"★  FAIR",IF(M11&gt;=0.025,"⚠  MARGINAL","✗  AVOID"))))</f>
        <v>✗  AVOID</v>
      </c>
    </row>
    <row r="12" customFormat="false" ht="15" hidden="false" customHeight="true" outlineLevel="0" collapsed="false">
      <c r="A12" s="247" t="n">
        <v>5.5</v>
      </c>
      <c r="B12" s="248"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48"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48"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48"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48"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48"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48"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48"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48"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48"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48"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48" t="n">
        <f aca="false">MIN(B12:L12)</f>
        <v>0</v>
      </c>
      <c r="N12" s="248" t="n">
        <f aca="false">SUMPRODUCT(($M$7:$M$557&gt;M12)*1)+SUMPRODUCT(($M$7:$M$557=M12)*(ROW($M$7:$M$557)&lt;ROW(M12)))+1</f>
        <v>388</v>
      </c>
      <c r="O12" s="248" t="str">
        <f aca="false">IF(M12&gt;=0.13,"★★★ EXCELLENT",IF(M12&gt;=0.12,"★★  GOOD",IF(M12&gt;=0.07,"★  FAIR",IF(M12&gt;=0.025,"⚠  MARGINAL","✗  AVOID"))))</f>
        <v>✗  AVOID</v>
      </c>
    </row>
    <row r="13" customFormat="false" ht="15" hidden="false" customHeight="true" outlineLevel="0" collapsed="false">
      <c r="A13" s="245" t="n">
        <v>5.6</v>
      </c>
      <c r="B13" s="246"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46"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46"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46"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46"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46"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46"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46"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46"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46"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46"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46" t="n">
        <f aca="false">MIN(B13:L13)</f>
        <v>0</v>
      </c>
      <c r="N13" s="246" t="n">
        <f aca="false">SUMPRODUCT(($M$7:$M$557&gt;M13)*1)+SUMPRODUCT(($M$7:$M$557=M13)*(ROW($M$7:$M$557)&lt;ROW(M13)))+1</f>
        <v>389</v>
      </c>
      <c r="O13" s="246" t="str">
        <f aca="false">IF(M13&gt;=0.13,"★★★ EXCELLENT",IF(M13&gt;=0.12,"★★  GOOD",IF(M13&gt;=0.07,"★  FAIR",IF(M13&gt;=0.025,"⚠  MARGINAL","✗  AVOID"))))</f>
        <v>✗  AVOID</v>
      </c>
    </row>
    <row r="14" customFormat="false" ht="15" hidden="false" customHeight="true" outlineLevel="0" collapsed="false">
      <c r="A14" s="247" t="n">
        <v>5.7</v>
      </c>
      <c r="B14" s="248"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48"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48"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48"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48"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48"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48"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48"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48"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48"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48"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48" t="n">
        <f aca="false">MIN(B14:L14)</f>
        <v>0</v>
      </c>
      <c r="N14" s="248" t="n">
        <f aca="false">SUMPRODUCT(($M$7:$M$557&gt;M14)*1)+SUMPRODUCT(($M$7:$M$557=M14)*(ROW($M$7:$M$557)&lt;ROW(M14)))+1</f>
        <v>390</v>
      </c>
      <c r="O14" s="248" t="str">
        <f aca="false">IF(M14&gt;=0.13,"★★★ EXCELLENT",IF(M14&gt;=0.12,"★★  GOOD",IF(M14&gt;=0.07,"★  FAIR",IF(M14&gt;=0.025,"⚠  MARGINAL","✗  AVOID"))))</f>
        <v>✗  AVOID</v>
      </c>
    </row>
    <row r="15" customFormat="false" ht="15" hidden="false" customHeight="true" outlineLevel="0" collapsed="false">
      <c r="A15" s="245" t="n">
        <v>5.8</v>
      </c>
      <c r="B15" s="246"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46"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46"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46"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46"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46"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46"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46"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46"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46"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46"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46" t="n">
        <f aca="false">MIN(B15:L15)</f>
        <v>0</v>
      </c>
      <c r="N15" s="246" t="n">
        <f aca="false">SUMPRODUCT(($M$7:$M$557&gt;M15)*1)+SUMPRODUCT(($M$7:$M$557=M15)*(ROW($M$7:$M$557)&lt;ROW(M15)))+1</f>
        <v>391</v>
      </c>
      <c r="O15" s="246" t="str">
        <f aca="false">IF(M15&gt;=0.13,"★★★ EXCELLENT",IF(M15&gt;=0.12,"★★  GOOD",IF(M15&gt;=0.07,"★  FAIR",IF(M15&gt;=0.025,"⚠  MARGINAL","✗  AVOID"))))</f>
        <v>✗  AVOID</v>
      </c>
    </row>
    <row r="16" customFormat="false" ht="15" hidden="false" customHeight="true" outlineLevel="0" collapsed="false">
      <c r="A16" s="247" t="n">
        <v>5.9</v>
      </c>
      <c r="B16" s="248"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48"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48"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48"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48"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48"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48"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48"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48"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48"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48"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48" t="n">
        <f aca="false">MIN(B16:L16)</f>
        <v>0</v>
      </c>
      <c r="N16" s="248" t="n">
        <f aca="false">SUMPRODUCT(($M$7:$M$557&gt;M16)*1)+SUMPRODUCT(($M$7:$M$557=M16)*(ROW($M$7:$M$557)&lt;ROW(M16)))+1</f>
        <v>392</v>
      </c>
      <c r="O16" s="248" t="str">
        <f aca="false">IF(M16&gt;=0.13,"★★★ EXCELLENT",IF(M16&gt;=0.12,"★★  GOOD",IF(M16&gt;=0.07,"★  FAIR",IF(M16&gt;=0.025,"⚠  MARGINAL","✗  AVOID"))))</f>
        <v>✗  AVOID</v>
      </c>
    </row>
    <row r="17" customFormat="false" ht="15" hidden="false" customHeight="true" outlineLevel="0" collapsed="false">
      <c r="A17" s="245" t="n">
        <v>6</v>
      </c>
      <c r="B17" s="246"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46"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46"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46"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46"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46"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46"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46"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46"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46"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46"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46" t="n">
        <f aca="false">MIN(B17:L17)</f>
        <v>0</v>
      </c>
      <c r="N17" s="246" t="n">
        <f aca="false">SUMPRODUCT(($M$7:$M$557&gt;M17)*1)+SUMPRODUCT(($M$7:$M$557=M17)*(ROW($M$7:$M$557)&lt;ROW(M17)))+1</f>
        <v>393</v>
      </c>
      <c r="O17" s="246" t="str">
        <f aca="false">IF(M17&gt;=0.13,"★★★ EXCELLENT",IF(M17&gt;=0.12,"★★  GOOD",IF(M17&gt;=0.07,"★  FAIR",IF(M17&gt;=0.025,"⚠  MARGINAL","✗  AVOID"))))</f>
        <v>✗  AVOID</v>
      </c>
    </row>
    <row r="18" customFormat="false" ht="15" hidden="false" customHeight="true" outlineLevel="0" collapsed="false">
      <c r="A18" s="247" t="n">
        <v>6.1</v>
      </c>
      <c r="B18" s="248"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48"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48"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48"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48"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48"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48"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48"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48"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48"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48"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48" t="n">
        <f aca="false">MIN(B18:L18)</f>
        <v>0</v>
      </c>
      <c r="N18" s="248" t="n">
        <f aca="false">SUMPRODUCT(($M$7:$M$557&gt;M18)*1)+SUMPRODUCT(($M$7:$M$557=M18)*(ROW($M$7:$M$557)&lt;ROW(M18)))+1</f>
        <v>394</v>
      </c>
      <c r="O18" s="248" t="str">
        <f aca="false">IF(M18&gt;=0.13,"★★★ EXCELLENT",IF(M18&gt;=0.12,"★★  GOOD",IF(M18&gt;=0.07,"★  FAIR",IF(M18&gt;=0.025,"⚠  MARGINAL","✗  AVOID"))))</f>
        <v>✗  AVOID</v>
      </c>
    </row>
    <row r="19" customFormat="false" ht="15" hidden="false" customHeight="true" outlineLevel="0" collapsed="false">
      <c r="A19" s="245" t="n">
        <v>6.2</v>
      </c>
      <c r="B19" s="246"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46"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46"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46"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46"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46"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46"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46"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46"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46"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46"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46" t="n">
        <f aca="false">MIN(B19:L19)</f>
        <v>0</v>
      </c>
      <c r="N19" s="246" t="n">
        <f aca="false">SUMPRODUCT(($M$7:$M$557&gt;M19)*1)+SUMPRODUCT(($M$7:$M$557=M19)*(ROW($M$7:$M$557)&lt;ROW(M19)))+1</f>
        <v>395</v>
      </c>
      <c r="O19" s="246" t="str">
        <f aca="false">IF(M19&gt;=0.13,"★★★ EXCELLENT",IF(M19&gt;=0.12,"★★  GOOD",IF(M19&gt;=0.07,"★  FAIR",IF(M19&gt;=0.025,"⚠  MARGINAL","✗  AVOID"))))</f>
        <v>✗  AVOID</v>
      </c>
    </row>
    <row r="20" customFormat="false" ht="15" hidden="false" customHeight="true" outlineLevel="0" collapsed="false">
      <c r="A20" s="247" t="n">
        <v>6.3</v>
      </c>
      <c r="B20" s="248"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48"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48"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48"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48"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48"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48"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48"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48"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48"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48"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48" t="n">
        <f aca="false">MIN(B20:L20)</f>
        <v>0</v>
      </c>
      <c r="N20" s="248" t="n">
        <f aca="false">SUMPRODUCT(($M$7:$M$557&gt;M20)*1)+SUMPRODUCT(($M$7:$M$557=M20)*(ROW($M$7:$M$557)&lt;ROW(M20)))+1</f>
        <v>396</v>
      </c>
      <c r="O20" s="248" t="str">
        <f aca="false">IF(M20&gt;=0.13,"★★★ EXCELLENT",IF(M20&gt;=0.12,"★★  GOOD",IF(M20&gt;=0.07,"★  FAIR",IF(M20&gt;=0.025,"⚠  MARGINAL","✗  AVOID"))))</f>
        <v>✗  AVOID</v>
      </c>
    </row>
    <row r="21" customFormat="false" ht="15" hidden="false" customHeight="true" outlineLevel="0" collapsed="false">
      <c r="A21" s="245" t="n">
        <v>6.4</v>
      </c>
      <c r="B21" s="246"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46"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46"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46"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46"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46"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46"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46"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46"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46"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46"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46" t="n">
        <f aca="false">MIN(B21:L21)</f>
        <v>0</v>
      </c>
      <c r="N21" s="246" t="n">
        <f aca="false">SUMPRODUCT(($M$7:$M$557&gt;M21)*1)+SUMPRODUCT(($M$7:$M$557=M21)*(ROW($M$7:$M$557)&lt;ROW(M21)))+1</f>
        <v>397</v>
      </c>
      <c r="O21" s="246" t="str">
        <f aca="false">IF(M21&gt;=0.13,"★★★ EXCELLENT",IF(M21&gt;=0.12,"★★  GOOD",IF(M21&gt;=0.07,"★  FAIR",IF(M21&gt;=0.025,"⚠  MARGINAL","✗  AVOID"))))</f>
        <v>✗  AVOID</v>
      </c>
    </row>
    <row r="22" customFormat="false" ht="15" hidden="false" customHeight="true" outlineLevel="0" collapsed="false">
      <c r="A22" s="247" t="n">
        <v>6.5</v>
      </c>
      <c r="B22" s="248"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48"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48"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48"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48"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48"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48"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48"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48"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48"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48"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48" t="n">
        <f aca="false">MIN(B22:L22)</f>
        <v>0</v>
      </c>
      <c r="N22" s="248" t="n">
        <f aca="false">SUMPRODUCT(($M$7:$M$557&gt;M22)*1)+SUMPRODUCT(($M$7:$M$557=M22)*(ROW($M$7:$M$557)&lt;ROW(M22)))+1</f>
        <v>398</v>
      </c>
      <c r="O22" s="248" t="str">
        <f aca="false">IF(M22&gt;=0.13,"★★★ EXCELLENT",IF(M22&gt;=0.12,"★★  GOOD",IF(M22&gt;=0.07,"★  FAIR",IF(M22&gt;=0.025,"⚠  MARGINAL","✗  AVOID"))))</f>
        <v>✗  AVOID</v>
      </c>
    </row>
    <row r="23" customFormat="false" ht="15" hidden="false" customHeight="true" outlineLevel="0" collapsed="false">
      <c r="A23" s="245" t="n">
        <v>6.6</v>
      </c>
      <c r="B23" s="246"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46"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46"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46"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46"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46"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46"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46"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46"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46"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46"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46" t="n">
        <f aca="false">MIN(B23:L23)</f>
        <v>0</v>
      </c>
      <c r="N23" s="246" t="n">
        <f aca="false">SUMPRODUCT(($M$7:$M$557&gt;M23)*1)+SUMPRODUCT(($M$7:$M$557=M23)*(ROW($M$7:$M$557)&lt;ROW(M23)))+1</f>
        <v>399</v>
      </c>
      <c r="O23" s="246" t="str">
        <f aca="false">IF(M23&gt;=0.13,"★★★ EXCELLENT",IF(M23&gt;=0.12,"★★  GOOD",IF(M23&gt;=0.07,"★  FAIR",IF(M23&gt;=0.025,"⚠  MARGINAL","✗  AVOID"))))</f>
        <v>✗  AVOID</v>
      </c>
    </row>
    <row r="24" customFormat="false" ht="15" hidden="false" customHeight="true" outlineLevel="0" collapsed="false">
      <c r="A24" s="247" t="n">
        <v>6.7</v>
      </c>
      <c r="B24" s="248"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48"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48"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48"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48"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48"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48"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48"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48"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48"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48"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48" t="n">
        <f aca="false">MIN(B24:L24)</f>
        <v>0</v>
      </c>
      <c r="N24" s="248" t="n">
        <f aca="false">SUMPRODUCT(($M$7:$M$557&gt;M24)*1)+SUMPRODUCT(($M$7:$M$557=M24)*(ROW($M$7:$M$557)&lt;ROW(M24)))+1</f>
        <v>400</v>
      </c>
      <c r="O24" s="248" t="str">
        <f aca="false">IF(M24&gt;=0.13,"★★★ EXCELLENT",IF(M24&gt;=0.12,"★★  GOOD",IF(M24&gt;=0.07,"★  FAIR",IF(M24&gt;=0.025,"⚠  MARGINAL","✗  AVOID"))))</f>
        <v>✗  AVOID</v>
      </c>
    </row>
    <row r="25" customFormat="false" ht="15" hidden="false" customHeight="true" outlineLevel="0" collapsed="false">
      <c r="A25" s="245" t="n">
        <v>6.8</v>
      </c>
      <c r="B25" s="246"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46"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46"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46"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46"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46"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46"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46"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46"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46"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46"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46" t="n">
        <f aca="false">MIN(B25:L25)</f>
        <v>0</v>
      </c>
      <c r="N25" s="246" t="n">
        <f aca="false">SUMPRODUCT(($M$7:$M$557&gt;M25)*1)+SUMPRODUCT(($M$7:$M$557=M25)*(ROW($M$7:$M$557)&lt;ROW(M25)))+1</f>
        <v>401</v>
      </c>
      <c r="O25" s="246" t="str">
        <f aca="false">IF(M25&gt;=0.13,"★★★ EXCELLENT",IF(M25&gt;=0.12,"★★  GOOD",IF(M25&gt;=0.07,"★  FAIR",IF(M25&gt;=0.025,"⚠  MARGINAL","✗  AVOID"))))</f>
        <v>✗  AVOID</v>
      </c>
    </row>
    <row r="26" customFormat="false" ht="15" hidden="false" customHeight="true" outlineLevel="0" collapsed="false">
      <c r="A26" s="247" t="n">
        <v>6.9</v>
      </c>
      <c r="B26" s="248"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48"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48"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48"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48"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48"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48"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48"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48"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48"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48"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48" t="n">
        <f aca="false">MIN(B26:L26)</f>
        <v>0</v>
      </c>
      <c r="N26" s="248" t="n">
        <f aca="false">SUMPRODUCT(($M$7:$M$557&gt;M26)*1)+SUMPRODUCT(($M$7:$M$557=M26)*(ROW($M$7:$M$557)&lt;ROW(M26)))+1</f>
        <v>402</v>
      </c>
      <c r="O26" s="248" t="str">
        <f aca="false">IF(M26&gt;=0.13,"★★★ EXCELLENT",IF(M26&gt;=0.12,"★★  GOOD",IF(M26&gt;=0.07,"★  FAIR",IF(M26&gt;=0.025,"⚠  MARGINAL","✗  AVOID"))))</f>
        <v>✗  AVOID</v>
      </c>
    </row>
    <row r="27" customFormat="false" ht="15" hidden="false" customHeight="true" outlineLevel="0" collapsed="false">
      <c r="A27" s="245" t="n">
        <v>7</v>
      </c>
      <c r="B27" s="246"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46"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46"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46"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46"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46"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46"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46"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46"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46"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46"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46" t="n">
        <f aca="false">MIN(B27:L27)</f>
        <v>0</v>
      </c>
      <c r="N27" s="246" t="n">
        <f aca="false">SUMPRODUCT(($M$7:$M$557&gt;M27)*1)+SUMPRODUCT(($M$7:$M$557=M27)*(ROW($M$7:$M$557)&lt;ROW(M27)))+1</f>
        <v>403</v>
      </c>
      <c r="O27" s="246" t="str">
        <f aca="false">IF(M27&gt;=0.13,"★★★ EXCELLENT",IF(M27&gt;=0.12,"★★  GOOD",IF(M27&gt;=0.07,"★  FAIR",IF(M27&gt;=0.025,"⚠  MARGINAL","✗  AVOID"))))</f>
        <v>✗  AVOID</v>
      </c>
    </row>
    <row r="28" customFormat="false" ht="15" hidden="false" customHeight="true" outlineLevel="0" collapsed="false">
      <c r="A28" s="247" t="n">
        <v>7.1</v>
      </c>
      <c r="B28" s="248"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48"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48"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48"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48"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48"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48"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48"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48"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48"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48"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48" t="n">
        <f aca="false">MIN(B28:L28)</f>
        <v>0</v>
      </c>
      <c r="N28" s="248" t="n">
        <f aca="false">SUMPRODUCT(($M$7:$M$557&gt;M28)*1)+SUMPRODUCT(($M$7:$M$557=M28)*(ROW($M$7:$M$557)&lt;ROW(M28)))+1</f>
        <v>404</v>
      </c>
      <c r="O28" s="248" t="str">
        <f aca="false">IF(M28&gt;=0.13,"★★★ EXCELLENT",IF(M28&gt;=0.12,"★★  GOOD",IF(M28&gt;=0.07,"★  FAIR",IF(M28&gt;=0.025,"⚠  MARGINAL","✗  AVOID"))))</f>
        <v>✗  AVOID</v>
      </c>
    </row>
    <row r="29" customFormat="false" ht="15" hidden="false" customHeight="true" outlineLevel="0" collapsed="false">
      <c r="A29" s="245" t="n">
        <v>7.2</v>
      </c>
      <c r="B29" s="246"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46"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46"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46"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46"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46"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46"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46"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46"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46"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46"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46" t="n">
        <f aca="false">MIN(B29:L29)</f>
        <v>0</v>
      </c>
      <c r="N29" s="246" t="n">
        <f aca="false">SUMPRODUCT(($M$7:$M$557&gt;M29)*1)+SUMPRODUCT(($M$7:$M$557=M29)*(ROW($M$7:$M$557)&lt;ROW(M29)))+1</f>
        <v>405</v>
      </c>
      <c r="O29" s="246" t="str">
        <f aca="false">IF(M29&gt;=0.13,"★★★ EXCELLENT",IF(M29&gt;=0.12,"★★  GOOD",IF(M29&gt;=0.07,"★  FAIR",IF(M29&gt;=0.025,"⚠  MARGINAL","✗  AVOID"))))</f>
        <v>✗  AVOID</v>
      </c>
    </row>
    <row r="30" customFormat="false" ht="15" hidden="false" customHeight="true" outlineLevel="0" collapsed="false">
      <c r="A30" s="247" t="n">
        <v>7.3</v>
      </c>
      <c r="B30" s="248"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48"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48"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48"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48"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48"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48"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48"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48"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48"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48"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48" t="n">
        <f aca="false">MIN(B30:L30)</f>
        <v>0</v>
      </c>
      <c r="N30" s="248" t="n">
        <f aca="false">SUMPRODUCT(($M$7:$M$557&gt;M30)*1)+SUMPRODUCT(($M$7:$M$557=M30)*(ROW($M$7:$M$557)&lt;ROW(M30)))+1</f>
        <v>406</v>
      </c>
      <c r="O30" s="248" t="str">
        <f aca="false">IF(M30&gt;=0.13,"★★★ EXCELLENT",IF(M30&gt;=0.12,"★★  GOOD",IF(M30&gt;=0.07,"★  FAIR",IF(M30&gt;=0.025,"⚠  MARGINAL","✗  AVOID"))))</f>
        <v>✗  AVOID</v>
      </c>
    </row>
    <row r="31" customFormat="false" ht="15" hidden="false" customHeight="true" outlineLevel="0" collapsed="false">
      <c r="A31" s="245" t="n">
        <v>7.4</v>
      </c>
      <c r="B31" s="246"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46"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46"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46"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46"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46"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46"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46"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46"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46"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46"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46" t="n">
        <f aca="false">MIN(B31:L31)</f>
        <v>0</v>
      </c>
      <c r="N31" s="246" t="n">
        <f aca="false">SUMPRODUCT(($M$7:$M$557&gt;M31)*1)+SUMPRODUCT(($M$7:$M$557=M31)*(ROW($M$7:$M$557)&lt;ROW(M31)))+1</f>
        <v>407</v>
      </c>
      <c r="O31" s="246" t="str">
        <f aca="false">IF(M31&gt;=0.13,"★★★ EXCELLENT",IF(M31&gt;=0.12,"★★  GOOD",IF(M31&gt;=0.07,"★  FAIR",IF(M31&gt;=0.025,"⚠  MARGINAL","✗  AVOID"))))</f>
        <v>✗  AVOID</v>
      </c>
    </row>
    <row r="32" customFormat="false" ht="15" hidden="false" customHeight="true" outlineLevel="0" collapsed="false">
      <c r="A32" s="247" t="n">
        <v>7.5</v>
      </c>
      <c r="B32" s="248"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48"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48"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48"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48"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48"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48"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48"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48"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48"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48"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48" t="n">
        <f aca="false">MIN(B32:L32)</f>
        <v>0</v>
      </c>
      <c r="N32" s="248" t="n">
        <f aca="false">SUMPRODUCT(($M$7:$M$557&gt;M32)*1)+SUMPRODUCT(($M$7:$M$557=M32)*(ROW($M$7:$M$557)&lt;ROW(M32)))+1</f>
        <v>408</v>
      </c>
      <c r="O32" s="248" t="str">
        <f aca="false">IF(M32&gt;=0.13,"★★★ EXCELLENT",IF(M32&gt;=0.12,"★★  GOOD",IF(M32&gt;=0.07,"★  FAIR",IF(M32&gt;=0.025,"⚠  MARGINAL","✗  AVOID"))))</f>
        <v>✗  AVOID</v>
      </c>
    </row>
    <row r="33" customFormat="false" ht="15" hidden="false" customHeight="true" outlineLevel="0" collapsed="false">
      <c r="A33" s="245" t="n">
        <v>7.6</v>
      </c>
      <c r="B33" s="246"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46"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46"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46"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46"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46"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46"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46"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46"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46"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46"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46" t="n">
        <f aca="false">MIN(B33:L33)</f>
        <v>0</v>
      </c>
      <c r="N33" s="246" t="n">
        <f aca="false">SUMPRODUCT(($M$7:$M$557&gt;M33)*1)+SUMPRODUCT(($M$7:$M$557=M33)*(ROW($M$7:$M$557)&lt;ROW(M33)))+1</f>
        <v>409</v>
      </c>
      <c r="O33" s="246" t="str">
        <f aca="false">IF(M33&gt;=0.13,"★★★ EXCELLENT",IF(M33&gt;=0.12,"★★  GOOD",IF(M33&gt;=0.07,"★  FAIR",IF(M33&gt;=0.025,"⚠  MARGINAL","✗  AVOID"))))</f>
        <v>✗  AVOID</v>
      </c>
    </row>
    <row r="34" customFormat="false" ht="15" hidden="false" customHeight="true" outlineLevel="0" collapsed="false">
      <c r="A34" s="247" t="n">
        <v>7.7</v>
      </c>
      <c r="B34" s="248"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48"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48"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48"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48"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48"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48"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48"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48"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48"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48"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48" t="n">
        <f aca="false">MIN(B34:L34)</f>
        <v>0</v>
      </c>
      <c r="N34" s="248" t="n">
        <f aca="false">SUMPRODUCT(($M$7:$M$557&gt;M34)*1)+SUMPRODUCT(($M$7:$M$557=M34)*(ROW($M$7:$M$557)&lt;ROW(M34)))+1</f>
        <v>410</v>
      </c>
      <c r="O34" s="248" t="str">
        <f aca="false">IF(M34&gt;=0.13,"★★★ EXCELLENT",IF(M34&gt;=0.12,"★★  GOOD",IF(M34&gt;=0.07,"★  FAIR",IF(M34&gt;=0.025,"⚠  MARGINAL","✗  AVOID"))))</f>
        <v>✗  AVOID</v>
      </c>
    </row>
    <row r="35" customFormat="false" ht="15" hidden="false" customHeight="true" outlineLevel="0" collapsed="false">
      <c r="A35" s="245" t="n">
        <v>7.8</v>
      </c>
      <c r="B35" s="246"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46"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46"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46"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46"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46"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46"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46"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46"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46"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46"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46" t="n">
        <f aca="false">MIN(B35:L35)</f>
        <v>0</v>
      </c>
      <c r="N35" s="246" t="n">
        <f aca="false">SUMPRODUCT(($M$7:$M$557&gt;M35)*1)+SUMPRODUCT(($M$7:$M$557=M35)*(ROW($M$7:$M$557)&lt;ROW(M35)))+1</f>
        <v>411</v>
      </c>
      <c r="O35" s="246" t="str">
        <f aca="false">IF(M35&gt;=0.13,"★★★ EXCELLENT",IF(M35&gt;=0.12,"★★  GOOD",IF(M35&gt;=0.07,"★  FAIR",IF(M35&gt;=0.025,"⚠  MARGINAL","✗  AVOID"))))</f>
        <v>✗  AVOID</v>
      </c>
    </row>
    <row r="36" customFormat="false" ht="15" hidden="false" customHeight="true" outlineLevel="0" collapsed="false">
      <c r="A36" s="247" t="n">
        <v>7.9</v>
      </c>
      <c r="B36" s="248"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48"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48"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48"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48"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48"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48"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48"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48"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48"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48"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48" t="n">
        <f aca="false">MIN(B36:L36)</f>
        <v>0</v>
      </c>
      <c r="N36" s="248" t="n">
        <f aca="false">SUMPRODUCT(($M$7:$M$557&gt;M36)*1)+SUMPRODUCT(($M$7:$M$557=M36)*(ROW($M$7:$M$557)&lt;ROW(M36)))+1</f>
        <v>412</v>
      </c>
      <c r="O36" s="248" t="str">
        <f aca="false">IF(M36&gt;=0.13,"★★★ EXCELLENT",IF(M36&gt;=0.12,"★★  GOOD",IF(M36&gt;=0.07,"★  FAIR",IF(M36&gt;=0.025,"⚠  MARGINAL","✗  AVOID"))))</f>
        <v>✗  AVOID</v>
      </c>
    </row>
    <row r="37" customFormat="false" ht="15" hidden="false" customHeight="true" outlineLevel="0" collapsed="false">
      <c r="A37" s="245" t="n">
        <v>8</v>
      </c>
      <c r="B37" s="246"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46"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46"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46"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46"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46"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46"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46"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46"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46"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46"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46" t="n">
        <f aca="false">MIN(B37:L37)</f>
        <v>0</v>
      </c>
      <c r="N37" s="246" t="n">
        <f aca="false">SUMPRODUCT(($M$7:$M$557&gt;M37)*1)+SUMPRODUCT(($M$7:$M$557=M37)*(ROW($M$7:$M$557)&lt;ROW(M37)))+1</f>
        <v>413</v>
      </c>
      <c r="O37" s="246" t="str">
        <f aca="false">IF(M37&gt;=0.13,"★★★ EXCELLENT",IF(M37&gt;=0.12,"★★  GOOD",IF(M37&gt;=0.07,"★  FAIR",IF(M37&gt;=0.025,"⚠  MARGINAL","✗  AVOID"))))</f>
        <v>✗  AVOID</v>
      </c>
    </row>
    <row r="38" customFormat="false" ht="15" hidden="false" customHeight="true" outlineLevel="0" collapsed="false">
      <c r="A38" s="247" t="n">
        <v>8.1</v>
      </c>
      <c r="B38" s="248"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48"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48"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48"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48"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48"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48"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48"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48"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48"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48"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48" t="n">
        <f aca="false">MIN(B38:L38)</f>
        <v>0</v>
      </c>
      <c r="N38" s="248" t="n">
        <f aca="false">SUMPRODUCT(($M$7:$M$557&gt;M38)*1)+SUMPRODUCT(($M$7:$M$557=M38)*(ROW($M$7:$M$557)&lt;ROW(M38)))+1</f>
        <v>414</v>
      </c>
      <c r="O38" s="248" t="str">
        <f aca="false">IF(M38&gt;=0.13,"★★★ EXCELLENT",IF(M38&gt;=0.12,"★★  GOOD",IF(M38&gt;=0.07,"★  FAIR",IF(M38&gt;=0.025,"⚠  MARGINAL","✗  AVOID"))))</f>
        <v>✗  AVOID</v>
      </c>
    </row>
    <row r="39" customFormat="false" ht="15" hidden="false" customHeight="true" outlineLevel="0" collapsed="false">
      <c r="A39" s="245" t="n">
        <v>8.2</v>
      </c>
      <c r="B39" s="246"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46"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46"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46"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46"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46"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46"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46"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46"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46"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46"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46" t="n">
        <f aca="false">MIN(B39:L39)</f>
        <v>0</v>
      </c>
      <c r="N39" s="246" t="n">
        <f aca="false">SUMPRODUCT(($M$7:$M$557&gt;M39)*1)+SUMPRODUCT(($M$7:$M$557=M39)*(ROW($M$7:$M$557)&lt;ROW(M39)))+1</f>
        <v>415</v>
      </c>
      <c r="O39" s="246" t="str">
        <f aca="false">IF(M39&gt;=0.13,"★★★ EXCELLENT",IF(M39&gt;=0.12,"★★  GOOD",IF(M39&gt;=0.07,"★  FAIR",IF(M39&gt;=0.025,"⚠  MARGINAL","✗  AVOID"))))</f>
        <v>✗  AVOID</v>
      </c>
    </row>
    <row r="40" customFormat="false" ht="15" hidden="false" customHeight="true" outlineLevel="0" collapsed="false">
      <c r="A40" s="247" t="n">
        <v>8.3</v>
      </c>
      <c r="B40" s="248"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48"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48"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48"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48"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48"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48"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48"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48"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48"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48"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48" t="n">
        <f aca="false">MIN(B40:L40)</f>
        <v>0</v>
      </c>
      <c r="N40" s="248" t="n">
        <f aca="false">SUMPRODUCT(($M$7:$M$557&gt;M40)*1)+SUMPRODUCT(($M$7:$M$557=M40)*(ROW($M$7:$M$557)&lt;ROW(M40)))+1</f>
        <v>416</v>
      </c>
      <c r="O40" s="248" t="str">
        <f aca="false">IF(M40&gt;=0.13,"★★★ EXCELLENT",IF(M40&gt;=0.12,"★★  GOOD",IF(M40&gt;=0.07,"★  FAIR",IF(M40&gt;=0.025,"⚠  MARGINAL","✗  AVOID"))))</f>
        <v>✗  AVOID</v>
      </c>
    </row>
    <row r="41" customFormat="false" ht="15" hidden="false" customHeight="true" outlineLevel="0" collapsed="false">
      <c r="A41" s="245" t="n">
        <v>8.4</v>
      </c>
      <c r="B41" s="246"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46"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46"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46"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46"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46"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46"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46"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46"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46"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46"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46" t="n">
        <f aca="false">MIN(B41:L41)</f>
        <v>0</v>
      </c>
      <c r="N41" s="246" t="n">
        <f aca="false">SUMPRODUCT(($M$7:$M$557&gt;M41)*1)+SUMPRODUCT(($M$7:$M$557=M41)*(ROW($M$7:$M$557)&lt;ROW(M41)))+1</f>
        <v>417</v>
      </c>
      <c r="O41" s="246" t="str">
        <f aca="false">IF(M41&gt;=0.13,"★★★ EXCELLENT",IF(M41&gt;=0.12,"★★  GOOD",IF(M41&gt;=0.07,"★  FAIR",IF(M41&gt;=0.025,"⚠  MARGINAL","✗  AVOID"))))</f>
        <v>✗  AVOID</v>
      </c>
    </row>
    <row r="42" customFormat="false" ht="15" hidden="false" customHeight="true" outlineLevel="0" collapsed="false">
      <c r="A42" s="247" t="n">
        <v>8.5</v>
      </c>
      <c r="B42" s="248"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48"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48"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48"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48"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48"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48"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48"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48"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48"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48"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48" t="n">
        <f aca="false">MIN(B42:L42)</f>
        <v>0</v>
      </c>
      <c r="N42" s="248" t="n">
        <f aca="false">SUMPRODUCT(($M$7:$M$557&gt;M42)*1)+SUMPRODUCT(($M$7:$M$557=M42)*(ROW($M$7:$M$557)&lt;ROW(M42)))+1</f>
        <v>418</v>
      </c>
      <c r="O42" s="248" t="str">
        <f aca="false">IF(M42&gt;=0.13,"★★★ EXCELLENT",IF(M42&gt;=0.12,"★★  GOOD",IF(M42&gt;=0.07,"★  FAIR",IF(M42&gt;=0.025,"⚠  MARGINAL","✗  AVOID"))))</f>
        <v>✗  AVOID</v>
      </c>
    </row>
    <row r="43" customFormat="false" ht="15" hidden="false" customHeight="true" outlineLevel="0" collapsed="false">
      <c r="A43" s="245" t="n">
        <v>8.6</v>
      </c>
      <c r="B43" s="246"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46"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46"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46"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46"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46"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46"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46"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46"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46"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46"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46" t="n">
        <f aca="false">MIN(B43:L43)</f>
        <v>0</v>
      </c>
      <c r="N43" s="246" t="n">
        <f aca="false">SUMPRODUCT(($M$7:$M$557&gt;M43)*1)+SUMPRODUCT(($M$7:$M$557=M43)*(ROW($M$7:$M$557)&lt;ROW(M43)))+1</f>
        <v>419</v>
      </c>
      <c r="O43" s="246" t="str">
        <f aca="false">IF(M43&gt;=0.13,"★★★ EXCELLENT",IF(M43&gt;=0.12,"★★  GOOD",IF(M43&gt;=0.07,"★  FAIR",IF(M43&gt;=0.025,"⚠  MARGINAL","✗  AVOID"))))</f>
        <v>✗  AVOID</v>
      </c>
    </row>
    <row r="44" customFormat="false" ht="15" hidden="false" customHeight="true" outlineLevel="0" collapsed="false">
      <c r="A44" s="247" t="n">
        <v>8.7</v>
      </c>
      <c r="B44" s="248"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48"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48"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48"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48"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48"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48"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48"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48"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48"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48"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48" t="n">
        <f aca="false">MIN(B44:L44)</f>
        <v>0</v>
      </c>
      <c r="N44" s="248" t="n">
        <f aca="false">SUMPRODUCT(($M$7:$M$557&gt;M44)*1)+SUMPRODUCT(($M$7:$M$557=M44)*(ROW($M$7:$M$557)&lt;ROW(M44)))+1</f>
        <v>420</v>
      </c>
      <c r="O44" s="248" t="str">
        <f aca="false">IF(M44&gt;=0.13,"★★★ EXCELLENT",IF(M44&gt;=0.12,"★★  GOOD",IF(M44&gt;=0.07,"★  FAIR",IF(M44&gt;=0.025,"⚠  MARGINAL","✗  AVOID"))))</f>
        <v>✗  AVOID</v>
      </c>
    </row>
    <row r="45" customFormat="false" ht="15" hidden="false" customHeight="true" outlineLevel="0" collapsed="false">
      <c r="A45" s="245" t="n">
        <v>8.8</v>
      </c>
      <c r="B45" s="246"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46"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46"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46"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46"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46"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46"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46"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46"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46"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46"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46" t="n">
        <f aca="false">MIN(B45:L45)</f>
        <v>0</v>
      </c>
      <c r="N45" s="246" t="n">
        <f aca="false">SUMPRODUCT(($M$7:$M$557&gt;M45)*1)+SUMPRODUCT(($M$7:$M$557=M45)*(ROW($M$7:$M$557)&lt;ROW(M45)))+1</f>
        <v>421</v>
      </c>
      <c r="O45" s="246" t="str">
        <f aca="false">IF(M45&gt;=0.13,"★★★ EXCELLENT",IF(M45&gt;=0.12,"★★  GOOD",IF(M45&gt;=0.07,"★  FAIR",IF(M45&gt;=0.025,"⚠  MARGINAL","✗  AVOID"))))</f>
        <v>✗  AVOID</v>
      </c>
    </row>
    <row r="46" customFormat="false" ht="15" hidden="false" customHeight="true" outlineLevel="0" collapsed="false">
      <c r="A46" s="247" t="n">
        <v>8.9</v>
      </c>
      <c r="B46" s="248"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48"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48"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48"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48"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48"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48"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48"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48"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48"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48"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48" t="n">
        <f aca="false">MIN(B46:L46)</f>
        <v>0</v>
      </c>
      <c r="N46" s="248" t="n">
        <f aca="false">SUMPRODUCT(($M$7:$M$557&gt;M46)*1)+SUMPRODUCT(($M$7:$M$557=M46)*(ROW($M$7:$M$557)&lt;ROW(M46)))+1</f>
        <v>422</v>
      </c>
      <c r="O46" s="248" t="str">
        <f aca="false">IF(M46&gt;=0.13,"★★★ EXCELLENT",IF(M46&gt;=0.12,"★★  GOOD",IF(M46&gt;=0.07,"★  FAIR",IF(M46&gt;=0.025,"⚠  MARGINAL","✗  AVOID"))))</f>
        <v>✗  AVOID</v>
      </c>
    </row>
    <row r="47" customFormat="false" ht="15" hidden="false" customHeight="true" outlineLevel="0" collapsed="false">
      <c r="A47" s="245" t="n">
        <v>9</v>
      </c>
      <c r="B47" s="246"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46"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46"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46"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46"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46"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46"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46"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46"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46"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46"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46" t="n">
        <f aca="false">MIN(B47:L47)</f>
        <v>0</v>
      </c>
      <c r="N47" s="246" t="n">
        <f aca="false">SUMPRODUCT(($M$7:$M$557&gt;M47)*1)+SUMPRODUCT(($M$7:$M$557=M47)*(ROW($M$7:$M$557)&lt;ROW(M47)))+1</f>
        <v>423</v>
      </c>
      <c r="O47" s="246" t="str">
        <f aca="false">IF(M47&gt;=0.13,"★★★ EXCELLENT",IF(M47&gt;=0.12,"★★  GOOD",IF(M47&gt;=0.07,"★  FAIR",IF(M47&gt;=0.025,"⚠  MARGINAL","✗  AVOID"))))</f>
        <v>✗  AVOID</v>
      </c>
    </row>
    <row r="48" customFormat="false" ht="15" hidden="false" customHeight="true" outlineLevel="0" collapsed="false">
      <c r="A48" s="247" t="n">
        <v>9.1</v>
      </c>
      <c r="B48" s="248"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48"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48"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48"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48"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48"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48"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48"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48"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48"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48"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48" t="n">
        <f aca="false">MIN(B48:L48)</f>
        <v>0</v>
      </c>
      <c r="N48" s="248" t="n">
        <f aca="false">SUMPRODUCT(($M$7:$M$557&gt;M48)*1)+SUMPRODUCT(($M$7:$M$557=M48)*(ROW($M$7:$M$557)&lt;ROW(M48)))+1</f>
        <v>424</v>
      </c>
      <c r="O48" s="248" t="str">
        <f aca="false">IF(M48&gt;=0.13,"★★★ EXCELLENT",IF(M48&gt;=0.12,"★★  GOOD",IF(M48&gt;=0.07,"★  FAIR",IF(M48&gt;=0.025,"⚠  MARGINAL","✗  AVOID"))))</f>
        <v>✗  AVOID</v>
      </c>
    </row>
    <row r="49" customFormat="false" ht="15" hidden="false" customHeight="true" outlineLevel="0" collapsed="false">
      <c r="A49" s="245" t="n">
        <v>9.2</v>
      </c>
      <c r="B49" s="246"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46"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46"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46"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46"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46"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46"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46"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46"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46"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46"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46" t="n">
        <f aca="false">MIN(B49:L49)</f>
        <v>0</v>
      </c>
      <c r="N49" s="246" t="n">
        <f aca="false">SUMPRODUCT(($M$7:$M$557&gt;M49)*1)+SUMPRODUCT(($M$7:$M$557=M49)*(ROW($M$7:$M$557)&lt;ROW(M49)))+1</f>
        <v>425</v>
      </c>
      <c r="O49" s="246" t="str">
        <f aca="false">IF(M49&gt;=0.13,"★★★ EXCELLENT",IF(M49&gt;=0.12,"★★  GOOD",IF(M49&gt;=0.07,"★  FAIR",IF(M49&gt;=0.025,"⚠  MARGINAL","✗  AVOID"))))</f>
        <v>✗  AVOID</v>
      </c>
    </row>
    <row r="50" customFormat="false" ht="15" hidden="false" customHeight="true" outlineLevel="0" collapsed="false">
      <c r="A50" s="247" t="n">
        <v>9.3</v>
      </c>
      <c r="B50" s="248"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48"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48"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48"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48"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48"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48"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48"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48"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48"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48"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48" t="n">
        <f aca="false">MIN(B50:L50)</f>
        <v>0</v>
      </c>
      <c r="N50" s="248" t="n">
        <f aca="false">SUMPRODUCT(($M$7:$M$557&gt;M50)*1)+SUMPRODUCT(($M$7:$M$557=M50)*(ROW($M$7:$M$557)&lt;ROW(M50)))+1</f>
        <v>426</v>
      </c>
      <c r="O50" s="248" t="str">
        <f aca="false">IF(M50&gt;=0.13,"★★★ EXCELLENT",IF(M50&gt;=0.12,"★★  GOOD",IF(M50&gt;=0.07,"★  FAIR",IF(M50&gt;=0.025,"⚠  MARGINAL","✗  AVOID"))))</f>
        <v>✗  AVOID</v>
      </c>
    </row>
    <row r="51" customFormat="false" ht="15" hidden="false" customHeight="true" outlineLevel="0" collapsed="false">
      <c r="A51" s="245" t="n">
        <v>9.4</v>
      </c>
      <c r="B51" s="246"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46"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46"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46"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46"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46"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46"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46"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46"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46"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46"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46" t="n">
        <f aca="false">MIN(B51:L51)</f>
        <v>0</v>
      </c>
      <c r="N51" s="246" t="n">
        <f aca="false">SUMPRODUCT(($M$7:$M$557&gt;M51)*1)+SUMPRODUCT(($M$7:$M$557=M51)*(ROW($M$7:$M$557)&lt;ROW(M51)))+1</f>
        <v>427</v>
      </c>
      <c r="O51" s="246" t="str">
        <f aca="false">IF(M51&gt;=0.13,"★★★ EXCELLENT",IF(M51&gt;=0.12,"★★  GOOD",IF(M51&gt;=0.07,"★  FAIR",IF(M51&gt;=0.025,"⚠  MARGINAL","✗  AVOID"))))</f>
        <v>✗  AVOID</v>
      </c>
    </row>
    <row r="52" customFormat="false" ht="15" hidden="false" customHeight="true" outlineLevel="0" collapsed="false">
      <c r="A52" s="247" t="n">
        <v>9.5</v>
      </c>
      <c r="B52" s="248"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48"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48"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48"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48"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48"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48"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48"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48"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48"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48"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48" t="n">
        <f aca="false">MIN(B52:L52)</f>
        <v>0</v>
      </c>
      <c r="N52" s="248" t="n">
        <f aca="false">SUMPRODUCT(($M$7:$M$557&gt;M52)*1)+SUMPRODUCT(($M$7:$M$557=M52)*(ROW($M$7:$M$557)&lt;ROW(M52)))+1</f>
        <v>428</v>
      </c>
      <c r="O52" s="248" t="str">
        <f aca="false">IF(M52&gt;=0.13,"★★★ EXCELLENT",IF(M52&gt;=0.12,"★★  GOOD",IF(M52&gt;=0.07,"★  FAIR",IF(M52&gt;=0.025,"⚠  MARGINAL","✗  AVOID"))))</f>
        <v>✗  AVOID</v>
      </c>
    </row>
    <row r="53" customFormat="false" ht="15" hidden="false" customHeight="true" outlineLevel="0" collapsed="false">
      <c r="A53" s="245" t="n">
        <v>9.6</v>
      </c>
      <c r="B53" s="246"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46"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46"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46"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46"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46"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46"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46"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46"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46"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46"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46" t="n">
        <f aca="false">MIN(B53:L53)</f>
        <v>0</v>
      </c>
      <c r="N53" s="246" t="n">
        <f aca="false">SUMPRODUCT(($M$7:$M$557&gt;M53)*1)+SUMPRODUCT(($M$7:$M$557=M53)*(ROW($M$7:$M$557)&lt;ROW(M53)))+1</f>
        <v>429</v>
      </c>
      <c r="O53" s="246" t="str">
        <f aca="false">IF(M53&gt;=0.13,"★★★ EXCELLENT",IF(M53&gt;=0.12,"★★  GOOD",IF(M53&gt;=0.07,"★  FAIR",IF(M53&gt;=0.025,"⚠  MARGINAL","✗  AVOID"))))</f>
        <v>✗  AVOID</v>
      </c>
    </row>
    <row r="54" customFormat="false" ht="15" hidden="false" customHeight="true" outlineLevel="0" collapsed="false">
      <c r="A54" s="247" t="n">
        <v>9.7</v>
      </c>
      <c r="B54" s="248"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48"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48"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48"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48"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48"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48"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48"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48"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48"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48"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48" t="n">
        <f aca="false">MIN(B54:L54)</f>
        <v>0</v>
      </c>
      <c r="N54" s="248" t="n">
        <f aca="false">SUMPRODUCT(($M$7:$M$557&gt;M54)*1)+SUMPRODUCT(($M$7:$M$557=M54)*(ROW($M$7:$M$557)&lt;ROW(M54)))+1</f>
        <v>430</v>
      </c>
      <c r="O54" s="248" t="str">
        <f aca="false">IF(M54&gt;=0.13,"★★★ EXCELLENT",IF(M54&gt;=0.12,"★★  GOOD",IF(M54&gt;=0.07,"★  FAIR",IF(M54&gt;=0.025,"⚠  MARGINAL","✗  AVOID"))))</f>
        <v>✗  AVOID</v>
      </c>
    </row>
    <row r="55" customFormat="false" ht="15" hidden="false" customHeight="true" outlineLevel="0" collapsed="false">
      <c r="A55" s="245" t="n">
        <v>9.8</v>
      </c>
      <c r="B55" s="246"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46"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46"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46"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46"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46"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46"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46"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46"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46"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46"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46" t="n">
        <f aca="false">MIN(B55:L55)</f>
        <v>0</v>
      </c>
      <c r="N55" s="246" t="n">
        <f aca="false">SUMPRODUCT(($M$7:$M$557&gt;M55)*1)+SUMPRODUCT(($M$7:$M$557=M55)*(ROW($M$7:$M$557)&lt;ROW(M55)))+1</f>
        <v>431</v>
      </c>
      <c r="O55" s="246" t="str">
        <f aca="false">IF(M55&gt;=0.13,"★★★ EXCELLENT",IF(M55&gt;=0.12,"★★  GOOD",IF(M55&gt;=0.07,"★  FAIR",IF(M55&gt;=0.025,"⚠  MARGINAL","✗  AVOID"))))</f>
        <v>✗  AVOID</v>
      </c>
    </row>
    <row r="56" customFormat="false" ht="15" hidden="false" customHeight="true" outlineLevel="0" collapsed="false">
      <c r="A56" s="247" t="n">
        <v>9.9</v>
      </c>
      <c r="B56" s="248"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48"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48"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48"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48"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48"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48"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48"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48"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48"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48"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48" t="n">
        <f aca="false">MIN(B56:L56)</f>
        <v>0</v>
      </c>
      <c r="N56" s="248" t="n">
        <f aca="false">SUMPRODUCT(($M$7:$M$557&gt;M56)*1)+SUMPRODUCT(($M$7:$M$557=M56)*(ROW($M$7:$M$557)&lt;ROW(M56)))+1</f>
        <v>432</v>
      </c>
      <c r="O56" s="248" t="str">
        <f aca="false">IF(M56&gt;=0.13,"★★★ EXCELLENT",IF(M56&gt;=0.12,"★★  GOOD",IF(M56&gt;=0.07,"★  FAIR",IF(M56&gt;=0.025,"⚠  MARGINAL","✗  AVOID"))))</f>
        <v>✗  AVOID</v>
      </c>
    </row>
    <row r="57" customFormat="false" ht="15" hidden="false" customHeight="true" outlineLevel="0" collapsed="false">
      <c r="A57" s="245" t="n">
        <v>10</v>
      </c>
      <c r="B57" s="246"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46"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46"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46"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46"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46"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46"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46"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46"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46"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46"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46" t="n">
        <f aca="false">MIN(B57:L57)</f>
        <v>0</v>
      </c>
      <c r="N57" s="246" t="n">
        <f aca="false">SUMPRODUCT(($M$7:$M$557&gt;M57)*1)+SUMPRODUCT(($M$7:$M$557=M57)*(ROW($M$7:$M$557)&lt;ROW(M57)))+1</f>
        <v>433</v>
      </c>
      <c r="O57" s="246" t="str">
        <f aca="false">IF(M57&gt;=0.13,"★★★ EXCELLENT",IF(M57&gt;=0.12,"★★  GOOD",IF(M57&gt;=0.07,"★  FAIR",IF(M57&gt;=0.025,"⚠  MARGINAL","✗  AVOID"))))</f>
        <v>✗  AVOID</v>
      </c>
    </row>
    <row r="58" customFormat="false" ht="15" hidden="false" customHeight="true" outlineLevel="0" collapsed="false">
      <c r="A58" s="247" t="n">
        <v>10.1</v>
      </c>
      <c r="B58" s="248"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48"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48"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48"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48"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48"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48"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48"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48"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48"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48"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48" t="n">
        <f aca="false">MIN(B58:L58)</f>
        <v>0</v>
      </c>
      <c r="N58" s="248" t="n">
        <f aca="false">SUMPRODUCT(($M$7:$M$557&gt;M58)*1)+SUMPRODUCT(($M$7:$M$557=M58)*(ROW($M$7:$M$557)&lt;ROW(M58)))+1</f>
        <v>434</v>
      </c>
      <c r="O58" s="248" t="str">
        <f aca="false">IF(M58&gt;=0.13,"★★★ EXCELLENT",IF(M58&gt;=0.12,"★★  GOOD",IF(M58&gt;=0.07,"★  FAIR",IF(M58&gt;=0.025,"⚠  MARGINAL","✗  AVOID"))))</f>
        <v>✗  AVOID</v>
      </c>
    </row>
    <row r="59" customFormat="false" ht="15" hidden="false" customHeight="true" outlineLevel="0" collapsed="false">
      <c r="A59" s="245" t="n">
        <v>10.2</v>
      </c>
      <c r="B59" s="246"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46"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46"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46"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46"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46"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46"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46"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46"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46"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46"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46" t="n">
        <f aca="false">MIN(B59:L59)</f>
        <v>0.00105263157894731</v>
      </c>
      <c r="N59" s="246" t="n">
        <f aca="false">SUMPRODUCT(($M$7:$M$557&gt;M59)*1)+SUMPRODUCT(($M$7:$M$557=M59)*(ROW($M$7:$M$557)&lt;ROW(M59)))+1</f>
        <v>380</v>
      </c>
      <c r="O59" s="246" t="str">
        <f aca="false">IF(M59&gt;=0.13,"★★★ EXCELLENT",IF(M59&gt;=0.12,"★★  GOOD",IF(M59&gt;=0.07,"★  FAIR",IF(M59&gt;=0.025,"⚠  MARGINAL","✗  AVOID"))))</f>
        <v>✗  AVOID</v>
      </c>
    </row>
    <row r="60" customFormat="false" ht="15" hidden="false" customHeight="true" outlineLevel="0" collapsed="false">
      <c r="A60" s="247" t="n">
        <v>10.3</v>
      </c>
      <c r="B60" s="248"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48"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48"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48"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48"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48"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48"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48"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48"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48"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48"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48" t="n">
        <f aca="false">MIN(B60:L60)</f>
        <v>0.00596491228070184</v>
      </c>
      <c r="N60" s="248" t="n">
        <f aca="false">SUMPRODUCT(($M$7:$M$557&gt;M60)*1)+SUMPRODUCT(($M$7:$M$557=M60)*(ROW($M$7:$M$557)&lt;ROW(M60)))+1</f>
        <v>364</v>
      </c>
      <c r="O60" s="248" t="str">
        <f aca="false">IF(M60&gt;=0.13,"★★★ EXCELLENT",IF(M60&gt;=0.12,"★★  GOOD",IF(M60&gt;=0.07,"★  FAIR",IF(M60&gt;=0.025,"⚠  MARGINAL","✗  AVOID"))))</f>
        <v>✗  AVOID</v>
      </c>
    </row>
    <row r="61" customFormat="false" ht="15" hidden="false" customHeight="true" outlineLevel="0" collapsed="false">
      <c r="A61" s="245" t="n">
        <v>10.4</v>
      </c>
      <c r="B61" s="246"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46"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46"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46"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46"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46"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46"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46"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46"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46"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46"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46" t="n">
        <f aca="false">MIN(B61:L61)</f>
        <v>0.0108771929824562</v>
      </c>
      <c r="N61" s="246" t="n">
        <f aca="false">SUMPRODUCT(($M$7:$M$557&gt;M61)*1)+SUMPRODUCT(($M$7:$M$557=M61)*(ROW($M$7:$M$557)&lt;ROW(M61)))+1</f>
        <v>350</v>
      </c>
      <c r="O61" s="246" t="str">
        <f aca="false">IF(M61&gt;=0.13,"★★★ EXCELLENT",IF(M61&gt;=0.12,"★★  GOOD",IF(M61&gt;=0.07,"★  FAIR",IF(M61&gt;=0.025,"⚠  MARGINAL","✗  AVOID"))))</f>
        <v>✗  AVOID</v>
      </c>
    </row>
    <row r="62" customFormat="false" ht="15" hidden="false" customHeight="true" outlineLevel="0" collapsed="false">
      <c r="A62" s="247" t="n">
        <v>10.5</v>
      </c>
      <c r="B62" s="248"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48"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48"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48"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48"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48"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48"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48"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48"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48"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48"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48" t="n">
        <f aca="false">MIN(B62:L62)</f>
        <v>0.0157894736842106</v>
      </c>
      <c r="N62" s="248" t="n">
        <f aca="false">SUMPRODUCT(($M$7:$M$557&gt;M62)*1)+SUMPRODUCT(($M$7:$M$557=M62)*(ROW($M$7:$M$557)&lt;ROW(M62)))+1</f>
        <v>334</v>
      </c>
      <c r="O62" s="248" t="str">
        <f aca="false">IF(M62&gt;=0.13,"★★★ EXCELLENT",IF(M62&gt;=0.12,"★★  GOOD",IF(M62&gt;=0.07,"★  FAIR",IF(M62&gt;=0.025,"⚠  MARGINAL","✗  AVOID"))))</f>
        <v>✗  AVOID</v>
      </c>
    </row>
    <row r="63" customFormat="false" ht="15" hidden="false" customHeight="true" outlineLevel="0" collapsed="false">
      <c r="A63" s="245" t="n">
        <v>10.6</v>
      </c>
      <c r="B63" s="246"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46"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46"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46"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46"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46"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46"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46"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46"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46"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46"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46" t="n">
        <f aca="false">MIN(B63:L63)</f>
        <v>0.0207017543859649</v>
      </c>
      <c r="N63" s="246" t="n">
        <f aca="false">SUMPRODUCT(($M$7:$M$557&gt;M63)*1)+SUMPRODUCT(($M$7:$M$557=M63)*(ROW($M$7:$M$557)&lt;ROW(M63)))+1</f>
        <v>320</v>
      </c>
      <c r="O63" s="246" t="str">
        <f aca="false">IF(M63&gt;=0.13,"★★★ EXCELLENT",IF(M63&gt;=0.12,"★★  GOOD",IF(M63&gt;=0.07,"★  FAIR",IF(M63&gt;=0.025,"⚠  MARGINAL","✗  AVOID"))))</f>
        <v>✗  AVOID</v>
      </c>
    </row>
    <row r="64" customFormat="false" ht="15" hidden="false" customHeight="true" outlineLevel="0" collapsed="false">
      <c r="A64" s="247" t="n">
        <v>10.7</v>
      </c>
      <c r="B64" s="248"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48"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48"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48"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48"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48"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48"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48"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48"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48"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48"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48" t="n">
        <f aca="false">MIN(B64:L64)</f>
        <v>0.0256140350877192</v>
      </c>
      <c r="N64" s="248" t="n">
        <f aca="false">SUMPRODUCT(($M$7:$M$557&gt;M64)*1)+SUMPRODUCT(($M$7:$M$557=M64)*(ROW($M$7:$M$557)&lt;ROW(M64)))+1</f>
        <v>306</v>
      </c>
      <c r="O64" s="248" t="str">
        <f aca="false">IF(M64&gt;=0.13,"★★★ EXCELLENT",IF(M64&gt;=0.12,"★★  GOOD",IF(M64&gt;=0.07,"★  FAIR",IF(M64&gt;=0.025,"⚠  MARGINAL","✗  AVOID"))))</f>
        <v>⚠  MARGINAL</v>
      </c>
    </row>
    <row r="65" customFormat="false" ht="15" hidden="false" customHeight="true" outlineLevel="0" collapsed="false">
      <c r="A65" s="245" t="n">
        <v>10.8</v>
      </c>
      <c r="B65" s="246"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46"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46"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46"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46"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46"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46"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46"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46"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46"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46"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46" t="n">
        <f aca="false">MIN(B65:L65)</f>
        <v>0.0305263157894737</v>
      </c>
      <c r="N65" s="246" t="n">
        <f aca="false">SUMPRODUCT(($M$7:$M$557&gt;M65)*1)+SUMPRODUCT(($M$7:$M$557=M65)*(ROW($M$7:$M$557)&lt;ROW(M65)))+1</f>
        <v>291</v>
      </c>
      <c r="O65" s="246" t="str">
        <f aca="false">IF(M65&gt;=0.13,"★★★ EXCELLENT",IF(M65&gt;=0.12,"★★  GOOD",IF(M65&gt;=0.07,"★  FAIR",IF(M65&gt;=0.025,"⚠  MARGINAL","✗  AVOID"))))</f>
        <v>⚠  MARGINAL</v>
      </c>
    </row>
    <row r="66" customFormat="false" ht="15" hidden="false" customHeight="true" outlineLevel="0" collapsed="false">
      <c r="A66" s="247" t="n">
        <v>10.9</v>
      </c>
      <c r="B66" s="248"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48"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48"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48"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48"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48"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48"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48"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48"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48"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48"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48" t="n">
        <f aca="false">MIN(B66:L66)</f>
        <v>0.0354385964912281</v>
      </c>
      <c r="N66" s="248" t="n">
        <f aca="false">SUMPRODUCT(($M$7:$M$557&gt;M66)*1)+SUMPRODUCT(($M$7:$M$557=M66)*(ROW($M$7:$M$557)&lt;ROW(M66)))+1</f>
        <v>276</v>
      </c>
      <c r="O66" s="248" t="str">
        <f aca="false">IF(M66&gt;=0.13,"★★★ EXCELLENT",IF(M66&gt;=0.12,"★★  GOOD",IF(M66&gt;=0.07,"★  FAIR",IF(M66&gt;=0.025,"⚠  MARGINAL","✗  AVOID"))))</f>
        <v>⚠  MARGINAL</v>
      </c>
    </row>
    <row r="67" customFormat="false" ht="15" hidden="false" customHeight="true" outlineLevel="0" collapsed="false">
      <c r="A67" s="245" t="n">
        <v>11</v>
      </c>
      <c r="B67" s="246"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46"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46"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46"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46"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46"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46"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46"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46"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46"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46"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46" t="n">
        <f aca="false">MIN(B67:L67)</f>
        <v>0.0403508771929825</v>
      </c>
      <c r="N67" s="246" t="n">
        <f aca="false">SUMPRODUCT(($M$7:$M$557&gt;M67)*1)+SUMPRODUCT(($M$7:$M$557=M67)*(ROW($M$7:$M$557)&lt;ROW(M67)))+1</f>
        <v>261</v>
      </c>
      <c r="O67" s="246" t="str">
        <f aca="false">IF(M67&gt;=0.13,"★★★ EXCELLENT",IF(M67&gt;=0.12,"★★  GOOD",IF(M67&gt;=0.07,"★  FAIR",IF(M67&gt;=0.025,"⚠  MARGINAL","✗  AVOID"))))</f>
        <v>⚠  MARGINAL</v>
      </c>
    </row>
    <row r="68" customFormat="false" ht="15" hidden="false" customHeight="true" outlineLevel="0" collapsed="false">
      <c r="A68" s="247" t="n">
        <v>11.1</v>
      </c>
      <c r="B68" s="248"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48"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48"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48"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48"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48"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48"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48"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48"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48"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48"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48" t="n">
        <f aca="false">MIN(B68:L68)</f>
        <v>0.0452631578947369</v>
      </c>
      <c r="N68" s="248" t="n">
        <f aca="false">SUMPRODUCT(($M$7:$M$557&gt;M68)*1)+SUMPRODUCT(($M$7:$M$557=M68)*(ROW($M$7:$M$557)&lt;ROW(M68)))+1</f>
        <v>246</v>
      </c>
      <c r="O68" s="248" t="str">
        <f aca="false">IF(M68&gt;=0.13,"★★★ EXCELLENT",IF(M68&gt;=0.12,"★★  GOOD",IF(M68&gt;=0.07,"★  FAIR",IF(M68&gt;=0.025,"⚠  MARGINAL","✗  AVOID"))))</f>
        <v>⚠  MARGINAL</v>
      </c>
    </row>
    <row r="69" customFormat="false" ht="15" hidden="false" customHeight="true" outlineLevel="0" collapsed="false">
      <c r="A69" s="245" t="n">
        <v>11.2</v>
      </c>
      <c r="B69" s="246"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46"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46"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46"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46"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46"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46"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46"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46"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46"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46"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46" t="n">
        <f aca="false">MIN(B69:L69)</f>
        <v>0.0501754385964912</v>
      </c>
      <c r="N69" s="246" t="n">
        <f aca="false">SUMPRODUCT(($M$7:$M$557&gt;M69)*1)+SUMPRODUCT(($M$7:$M$557=M69)*(ROW($M$7:$M$557)&lt;ROW(M69)))+1</f>
        <v>232</v>
      </c>
      <c r="O69" s="246" t="str">
        <f aca="false">IF(M69&gt;=0.13,"★★★ EXCELLENT",IF(M69&gt;=0.12,"★★  GOOD",IF(M69&gt;=0.07,"★  FAIR",IF(M69&gt;=0.025,"⚠  MARGINAL","✗  AVOID"))))</f>
        <v>⚠  MARGINAL</v>
      </c>
    </row>
    <row r="70" customFormat="false" ht="15" hidden="false" customHeight="true" outlineLevel="0" collapsed="false">
      <c r="A70" s="247" t="n">
        <v>11.3</v>
      </c>
      <c r="B70" s="248"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48"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48"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48"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48"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48"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48"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48"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48"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48"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48"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48" t="n">
        <f aca="false">MIN(B70:L70)</f>
        <v>0.0550877192982456</v>
      </c>
      <c r="N70" s="248" t="n">
        <f aca="false">SUMPRODUCT(($M$7:$M$557&gt;M70)*1)+SUMPRODUCT(($M$7:$M$557=M70)*(ROW($M$7:$M$557)&lt;ROW(M70)))+1</f>
        <v>217</v>
      </c>
      <c r="O70" s="248" t="str">
        <f aca="false">IF(M70&gt;=0.13,"★★★ EXCELLENT",IF(M70&gt;=0.12,"★★  GOOD",IF(M70&gt;=0.07,"★  FAIR",IF(M70&gt;=0.025,"⚠  MARGINAL","✗  AVOID"))))</f>
        <v>⚠  MARGINAL</v>
      </c>
    </row>
    <row r="71" customFormat="false" ht="15" hidden="false" customHeight="true" outlineLevel="0" collapsed="false">
      <c r="A71" s="245" t="n">
        <v>11.4</v>
      </c>
      <c r="B71" s="246"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46"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46"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46"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46"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46"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46"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46"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46"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46"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46"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46" t="n">
        <f aca="false">MIN(B71:L71)</f>
        <v>0.0599999999999999</v>
      </c>
      <c r="N71" s="246" t="n">
        <f aca="false">SUMPRODUCT(($M$7:$M$557&gt;M71)*1)+SUMPRODUCT(($M$7:$M$557=M71)*(ROW($M$7:$M$557)&lt;ROW(M71)))+1</f>
        <v>202</v>
      </c>
      <c r="O71" s="246" t="str">
        <f aca="false">IF(M71&gt;=0.13,"★★★ EXCELLENT",IF(M71&gt;=0.12,"★★  GOOD",IF(M71&gt;=0.07,"★  FAIR",IF(M71&gt;=0.025,"⚠  MARGINAL","✗  AVOID"))))</f>
        <v>⚠  MARGINAL</v>
      </c>
    </row>
    <row r="72" customFormat="false" ht="15" hidden="false" customHeight="true" outlineLevel="0" collapsed="false">
      <c r="A72" s="247" t="n">
        <v>11.5</v>
      </c>
      <c r="B72" s="248"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48"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48"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48"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48"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48"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48"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48"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48"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48"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48"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48" t="n">
        <f aca="false">MIN(B72:L72)</f>
        <v>0.0649122807017544</v>
      </c>
      <c r="N72" s="248" t="n">
        <f aca="false">SUMPRODUCT(($M$7:$M$557&gt;M72)*1)+SUMPRODUCT(($M$7:$M$557=M72)*(ROW($M$7:$M$557)&lt;ROW(M72)))+1</f>
        <v>187</v>
      </c>
      <c r="O72" s="248" t="str">
        <f aca="false">IF(M72&gt;=0.13,"★★★ EXCELLENT",IF(M72&gt;=0.12,"★★  GOOD",IF(M72&gt;=0.07,"★  FAIR",IF(M72&gt;=0.025,"⚠  MARGINAL","✗  AVOID"))))</f>
        <v>⚠  MARGINAL</v>
      </c>
    </row>
    <row r="73" customFormat="false" ht="15" hidden="false" customHeight="true" outlineLevel="0" collapsed="false">
      <c r="A73" s="245" t="n">
        <v>11.6</v>
      </c>
      <c r="B73" s="246"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46"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46"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46"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46"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46"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46"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46"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46"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46"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46"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46" t="n">
        <f aca="false">MIN(B73:L73)</f>
        <v>0.0698245614035088</v>
      </c>
      <c r="N73" s="246" t="n">
        <f aca="false">SUMPRODUCT(($M$7:$M$557&gt;M73)*1)+SUMPRODUCT(($M$7:$M$557=M73)*(ROW($M$7:$M$557)&lt;ROW(M73)))+1</f>
        <v>173</v>
      </c>
      <c r="O73" s="246" t="str">
        <f aca="false">IF(M73&gt;=0.13,"★★★ EXCELLENT",IF(M73&gt;=0.12,"★★  GOOD",IF(M73&gt;=0.07,"★  FAIR",IF(M73&gt;=0.025,"⚠  MARGINAL","✗  AVOID"))))</f>
        <v>⚠  MARGINAL</v>
      </c>
    </row>
    <row r="74" customFormat="false" ht="15" hidden="false" customHeight="true" outlineLevel="0" collapsed="false">
      <c r="A74" s="247" t="n">
        <v>11.7</v>
      </c>
      <c r="B74" s="248"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48"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48"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48"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48"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48"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48"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48"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48"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48"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48"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48" t="n">
        <f aca="false">MIN(B74:L74)</f>
        <v>0.0747368421052631</v>
      </c>
      <c r="N74" s="248" t="n">
        <f aca="false">SUMPRODUCT(($M$7:$M$557&gt;M74)*1)+SUMPRODUCT(($M$7:$M$557=M74)*(ROW($M$7:$M$557)&lt;ROW(M74)))+1</f>
        <v>158</v>
      </c>
      <c r="O74" s="248" t="str">
        <f aca="false">IF(M74&gt;=0.13,"★★★ EXCELLENT",IF(M74&gt;=0.12,"★★  GOOD",IF(M74&gt;=0.07,"★  FAIR",IF(M74&gt;=0.025,"⚠  MARGINAL","✗  AVOID"))))</f>
        <v>★  FAIR</v>
      </c>
    </row>
    <row r="75" customFormat="false" ht="15" hidden="false" customHeight="true" outlineLevel="0" collapsed="false">
      <c r="A75" s="245" t="n">
        <v>11.8</v>
      </c>
      <c r="B75" s="246"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46"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46"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46"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46"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46"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46"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46"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46"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46"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46"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46" t="n">
        <f aca="false">MIN(B75:L75)</f>
        <v>0.0796491228070176</v>
      </c>
      <c r="N75" s="246" t="n">
        <f aca="false">SUMPRODUCT(($M$7:$M$557&gt;M75)*1)+SUMPRODUCT(($M$7:$M$557=M75)*(ROW($M$7:$M$557)&lt;ROW(M75)))+1</f>
        <v>144</v>
      </c>
      <c r="O75" s="246" t="str">
        <f aca="false">IF(M75&gt;=0.13,"★★★ EXCELLENT",IF(M75&gt;=0.12,"★★  GOOD",IF(M75&gt;=0.07,"★  FAIR",IF(M75&gt;=0.025,"⚠  MARGINAL","✗  AVOID"))))</f>
        <v>★  FAIR</v>
      </c>
    </row>
    <row r="76" customFormat="false" ht="15" hidden="false" customHeight="true" outlineLevel="0" collapsed="false">
      <c r="A76" s="247" t="n">
        <v>11.9</v>
      </c>
      <c r="B76" s="248"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48"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48"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48"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48"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48"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48"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48"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48"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48"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48"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48" t="n">
        <f aca="false">MIN(B76:L76)</f>
        <v>0.084561403508772</v>
      </c>
      <c r="N76" s="248" t="n">
        <f aca="false">SUMPRODUCT(($M$7:$M$557&gt;M76)*1)+SUMPRODUCT(($M$7:$M$557=M76)*(ROW($M$7:$M$557)&lt;ROW(M76)))+1</f>
        <v>128</v>
      </c>
      <c r="O76" s="248" t="str">
        <f aca="false">IF(M76&gt;=0.13,"★★★ EXCELLENT",IF(M76&gt;=0.12,"★★  GOOD",IF(M76&gt;=0.07,"★  FAIR",IF(M76&gt;=0.025,"⚠  MARGINAL","✗  AVOID"))))</f>
        <v>★  FAIR</v>
      </c>
    </row>
    <row r="77" customFormat="false" ht="15" hidden="false" customHeight="true" outlineLevel="0" collapsed="false">
      <c r="A77" s="245" t="n">
        <v>12</v>
      </c>
      <c r="B77" s="246"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46"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46"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46"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46"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46"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46"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46"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46"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46"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46"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46" t="n">
        <f aca="false">MIN(B77:L77)</f>
        <v>0.0894736842105263</v>
      </c>
      <c r="N77" s="246" t="n">
        <f aca="false">SUMPRODUCT(($M$7:$M$557&gt;M77)*1)+SUMPRODUCT(($M$7:$M$557=M77)*(ROW($M$7:$M$557)&lt;ROW(M77)))+1</f>
        <v>114</v>
      </c>
      <c r="O77" s="246" t="str">
        <f aca="false">IF(M77&gt;=0.13,"★★★ EXCELLENT",IF(M77&gt;=0.12,"★★  GOOD",IF(M77&gt;=0.07,"★  FAIR",IF(M77&gt;=0.025,"⚠  MARGINAL","✗  AVOID"))))</f>
        <v>★  FAIR</v>
      </c>
    </row>
    <row r="78" customFormat="false" ht="15" hidden="false" customHeight="true" outlineLevel="0" collapsed="false">
      <c r="A78" s="247" t="n">
        <v>12.1</v>
      </c>
      <c r="B78" s="248"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48"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48"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48"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48"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48"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48"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48"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48"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48"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48"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48" t="n">
        <f aca="false">MIN(B78:L78)</f>
        <v>0.0943859649122807</v>
      </c>
      <c r="N78" s="248" t="n">
        <f aca="false">SUMPRODUCT(($M$7:$M$557&gt;M78)*1)+SUMPRODUCT(($M$7:$M$557=M78)*(ROW($M$7:$M$557)&lt;ROW(M78)))+1</f>
        <v>100</v>
      </c>
      <c r="O78" s="248" t="str">
        <f aca="false">IF(M78&gt;=0.13,"★★★ EXCELLENT",IF(M78&gt;=0.12,"★★  GOOD",IF(M78&gt;=0.07,"★  FAIR",IF(M78&gt;=0.025,"⚠  MARGINAL","✗  AVOID"))))</f>
        <v>★  FAIR</v>
      </c>
    </row>
    <row r="79" customFormat="false" ht="15" hidden="false" customHeight="true" outlineLevel="0" collapsed="false">
      <c r="A79" s="245" t="n">
        <v>12.2</v>
      </c>
      <c r="B79" s="246"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46"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46"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46"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46"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46"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46"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46"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46"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46"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46"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46" t="n">
        <f aca="false">MIN(B79:L79)</f>
        <v>0.099298245614035</v>
      </c>
      <c r="N79" s="246" t="n">
        <f aca="false">SUMPRODUCT(($M$7:$M$557&gt;M79)*1)+SUMPRODUCT(($M$7:$M$557=M79)*(ROW($M$7:$M$557)&lt;ROW(M79)))+1</f>
        <v>89</v>
      </c>
      <c r="O79" s="246" t="str">
        <f aca="false">IF(M79&gt;=0.13,"★★★ EXCELLENT",IF(M79&gt;=0.12,"★★  GOOD",IF(M79&gt;=0.07,"★  FAIR",IF(M79&gt;=0.025,"⚠  MARGINAL","✗  AVOID"))))</f>
        <v>★  FAIR</v>
      </c>
    </row>
    <row r="80" customFormat="false" ht="15" hidden="false" customHeight="true" outlineLevel="0" collapsed="false">
      <c r="A80" s="247" t="n">
        <v>12.3</v>
      </c>
      <c r="B80" s="248"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48"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48"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48"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48"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48"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48"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48"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48"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48"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48"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48" t="n">
        <f aca="false">MIN(B80:L80)</f>
        <v>0.10421052631579</v>
      </c>
      <c r="N80" s="248" t="n">
        <f aca="false">SUMPRODUCT(($M$7:$M$557&gt;M80)*1)+SUMPRODUCT(($M$7:$M$557=M80)*(ROW($M$7:$M$557)&lt;ROW(M80)))+1</f>
        <v>75</v>
      </c>
      <c r="O80" s="248" t="str">
        <f aca="false">IF(M80&gt;=0.13,"★★★ EXCELLENT",IF(M80&gt;=0.12,"★★  GOOD",IF(M80&gt;=0.07,"★  FAIR",IF(M80&gt;=0.025,"⚠  MARGINAL","✗  AVOID"))))</f>
        <v>★  FAIR</v>
      </c>
    </row>
    <row r="81" customFormat="false" ht="15" hidden="false" customHeight="true" outlineLevel="0" collapsed="false">
      <c r="A81" s="245" t="n">
        <v>12.4</v>
      </c>
      <c r="B81" s="246"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46"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46"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46"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46"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46"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46"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46"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46"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46"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46"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46" t="n">
        <f aca="false">MIN(B81:L81)</f>
        <v>0.109122807017544</v>
      </c>
      <c r="N81" s="246" t="n">
        <f aca="false">SUMPRODUCT(($M$7:$M$557&gt;M81)*1)+SUMPRODUCT(($M$7:$M$557=M81)*(ROW($M$7:$M$557)&lt;ROW(M81)))+1</f>
        <v>65</v>
      </c>
      <c r="O81" s="246" t="str">
        <f aca="false">IF(M81&gt;=0.13,"★★★ EXCELLENT",IF(M81&gt;=0.12,"★★  GOOD",IF(M81&gt;=0.07,"★  FAIR",IF(M81&gt;=0.025,"⚠  MARGINAL","✗  AVOID"))))</f>
        <v>★  FAIR</v>
      </c>
    </row>
    <row r="82" customFormat="false" ht="15" hidden="false" customHeight="true" outlineLevel="0" collapsed="false">
      <c r="A82" s="247" t="n">
        <v>12.5</v>
      </c>
      <c r="B82" s="248"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48"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48"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48"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48"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48"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48"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48"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48"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48"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48"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48" t="n">
        <f aca="false">MIN(B82:L82)</f>
        <v>0.114035087719298</v>
      </c>
      <c r="N82" s="248" t="n">
        <f aca="false">SUMPRODUCT(($M$7:$M$557&gt;M82)*1)+SUMPRODUCT(($M$7:$M$557=M82)*(ROW($M$7:$M$557)&lt;ROW(M82)))+1</f>
        <v>51</v>
      </c>
      <c r="O82" s="248" t="str">
        <f aca="false">IF(M82&gt;=0.13,"★★★ EXCELLENT",IF(M82&gt;=0.12,"★★  GOOD",IF(M82&gt;=0.07,"★  FAIR",IF(M82&gt;=0.025,"⚠  MARGINAL","✗  AVOID"))))</f>
        <v>★  FAIR</v>
      </c>
    </row>
    <row r="83" customFormat="false" ht="15" hidden="false" customHeight="true" outlineLevel="0" collapsed="false">
      <c r="A83" s="245" t="n">
        <v>12.6</v>
      </c>
      <c r="B83" s="246"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46"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46"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46"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46"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46"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46"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46"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46"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46"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46"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46" t="n">
        <f aca="false">MIN(B83:L83)</f>
        <v>0.118947368421053</v>
      </c>
      <c r="N83" s="246" t="n">
        <f aca="false">SUMPRODUCT(($M$7:$M$557&gt;M83)*1)+SUMPRODUCT(($M$7:$M$557=M83)*(ROW($M$7:$M$557)&lt;ROW(M83)))+1</f>
        <v>42</v>
      </c>
      <c r="O83" s="246" t="str">
        <f aca="false">IF(M83&gt;=0.13,"★★★ EXCELLENT",IF(M83&gt;=0.12,"★★  GOOD",IF(M83&gt;=0.07,"★  FAIR",IF(M83&gt;=0.025,"⚠  MARGINAL","✗  AVOID"))))</f>
        <v>★  FAIR</v>
      </c>
    </row>
    <row r="84" customFormat="false" ht="15" hidden="false" customHeight="true" outlineLevel="0" collapsed="false">
      <c r="A84" s="247" t="n">
        <v>12.7</v>
      </c>
      <c r="B84" s="248"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48"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48"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48"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48"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48"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48"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48"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48"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48"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48"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48" t="n">
        <f aca="false">MIN(B84:L84)</f>
        <v>0.123859649122807</v>
      </c>
      <c r="N84" s="248" t="n">
        <f aca="false">SUMPRODUCT(($M$7:$M$557&gt;M84)*1)+SUMPRODUCT(($M$7:$M$557=M84)*(ROW($M$7:$M$557)&lt;ROW(M84)))+1</f>
        <v>31</v>
      </c>
      <c r="O84" s="248" t="str">
        <f aca="false">IF(M84&gt;=0.13,"★★★ EXCELLENT",IF(M84&gt;=0.12,"★★  GOOD",IF(M84&gt;=0.07,"★  FAIR",IF(M84&gt;=0.025,"⚠  MARGINAL","✗  AVOID"))))</f>
        <v>★★  GOOD</v>
      </c>
    </row>
    <row r="85" customFormat="false" ht="15" hidden="false" customHeight="true" outlineLevel="0" collapsed="false">
      <c r="A85" s="245" t="n">
        <v>12.8</v>
      </c>
      <c r="B85" s="246"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46"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46"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46"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46"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46"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46"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46"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46"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46"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46"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46" t="n">
        <f aca="false">MIN(B85:L85)</f>
        <v>0.128771929824561</v>
      </c>
      <c r="N85" s="246" t="n">
        <f aca="false">SUMPRODUCT(($M$7:$M$557&gt;M85)*1)+SUMPRODUCT(($M$7:$M$557=M85)*(ROW($M$7:$M$557)&lt;ROW(M85)))+1</f>
        <v>24</v>
      </c>
      <c r="O85" s="246" t="str">
        <f aca="false">IF(M85&gt;=0.13,"★★★ EXCELLENT",IF(M85&gt;=0.12,"★★  GOOD",IF(M85&gt;=0.07,"★  FAIR",IF(M85&gt;=0.025,"⚠  MARGINAL","✗  AVOID"))))</f>
        <v>★★  GOOD</v>
      </c>
    </row>
    <row r="86" customFormat="false" ht="15" hidden="false" customHeight="true" outlineLevel="0" collapsed="false">
      <c r="A86" s="247" t="n">
        <v>12.9</v>
      </c>
      <c r="B86" s="248"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48"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48"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48"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48"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48"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48"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48"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48"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48"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48"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48" t="n">
        <f aca="false">MIN(B86:L86)</f>
        <v>0.133684210526316</v>
      </c>
      <c r="N86" s="248" t="n">
        <f aca="false">SUMPRODUCT(($M$7:$M$557&gt;M86)*1)+SUMPRODUCT(($M$7:$M$557=M86)*(ROW($M$7:$M$557)&lt;ROW(M86)))+1</f>
        <v>16</v>
      </c>
      <c r="O86" s="248" t="str">
        <f aca="false">IF(M86&gt;=0.13,"★★★ EXCELLENT",IF(M86&gt;=0.12,"★★  GOOD",IF(M86&gt;=0.07,"★  FAIR",IF(M86&gt;=0.025,"⚠  MARGINAL","✗  AVOID"))))</f>
        <v>★★★ EXCELLENT</v>
      </c>
    </row>
    <row r="87" customFormat="false" ht="15" hidden="false" customHeight="true" outlineLevel="0" collapsed="false">
      <c r="A87" s="245" t="n">
        <v>13</v>
      </c>
      <c r="B87" s="246"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46"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46"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46"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46"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46"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46"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46"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46"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46"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46"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46" t="n">
        <f aca="false">MIN(B87:L87)</f>
        <v>0.13859649122807</v>
      </c>
      <c r="N87" s="246" t="n">
        <f aca="false">SUMPRODUCT(($M$7:$M$557&gt;M87)*1)+SUMPRODUCT(($M$7:$M$557=M87)*(ROW($M$7:$M$557)&lt;ROW(M87)))+1</f>
        <v>11</v>
      </c>
      <c r="O87" s="246" t="str">
        <f aca="false">IF(M87&gt;=0.13,"★★★ EXCELLENT",IF(M87&gt;=0.12,"★★  GOOD",IF(M87&gt;=0.07,"★  FAIR",IF(M87&gt;=0.025,"⚠  MARGINAL","✗  AVOID"))))</f>
        <v>★★★ EXCELLENT</v>
      </c>
    </row>
    <row r="88" customFormat="false" ht="15" hidden="false" customHeight="true" outlineLevel="0" collapsed="false">
      <c r="A88" s="247" t="n">
        <v>13.1</v>
      </c>
      <c r="B88" s="248"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48"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48"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48"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48"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48"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48"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48"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48"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48"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48"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48" t="n">
        <f aca="false">MIN(B88:L88)</f>
        <v>0.143508771929825</v>
      </c>
      <c r="N88" s="248" t="n">
        <f aca="false">SUMPRODUCT(($M$7:$M$557&gt;M88)*1)+SUMPRODUCT(($M$7:$M$557=M88)*(ROW($M$7:$M$557)&lt;ROW(M88)))+1</f>
        <v>6</v>
      </c>
      <c r="O88" s="248" t="str">
        <f aca="false">IF(M88&gt;=0.13,"★★★ EXCELLENT",IF(M88&gt;=0.12,"★★  GOOD",IF(M88&gt;=0.07,"★  FAIR",IF(M88&gt;=0.025,"⚠  MARGINAL","✗  AVOID"))))</f>
        <v>★★★ EXCELLENT</v>
      </c>
    </row>
    <row r="89" customFormat="false" ht="15" hidden="false" customHeight="true" outlineLevel="0" collapsed="false">
      <c r="A89" s="245" t="n">
        <v>13.2</v>
      </c>
      <c r="B89" s="246"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46"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46"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46"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46"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46"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46"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46"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46"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46"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46"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46" t="n">
        <f aca="false">MIN(B89:L89)</f>
        <v>0.148421052631579</v>
      </c>
      <c r="N89" s="246" t="n">
        <f aca="false">SUMPRODUCT(($M$7:$M$557&gt;M89)*1)+SUMPRODUCT(($M$7:$M$557=M89)*(ROW($M$7:$M$557)&lt;ROW(M89)))+1</f>
        <v>3</v>
      </c>
      <c r="O89" s="246" t="str">
        <f aca="false">IF(M89&gt;=0.13,"★★★ EXCELLENT",IF(M89&gt;=0.12,"★★  GOOD",IF(M89&gt;=0.07,"★  FAIR",IF(M89&gt;=0.025,"⚠  MARGINAL","✗  AVOID"))))</f>
        <v>★★★ EXCELLENT</v>
      </c>
    </row>
    <row r="90" customFormat="false" ht="15" hidden="false" customHeight="true" outlineLevel="0" collapsed="false">
      <c r="A90" s="247" t="n">
        <v>13.3</v>
      </c>
      <c r="B90" s="248"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48"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48"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48"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48"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48"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48"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48"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48"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48"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48"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48" t="n">
        <f aca="false">MIN(B90:L90)</f>
        <v>0.153333333333333</v>
      </c>
      <c r="N90" s="248" t="n">
        <f aca="false">SUMPRODUCT(($M$7:$M$557&gt;M90)*1)+SUMPRODUCT(($M$7:$M$557=M90)*(ROW($M$7:$M$557)&lt;ROW(M90)))+1</f>
        <v>1</v>
      </c>
      <c r="O90" s="248" t="str">
        <f aca="false">IF(M90&gt;=0.13,"★★★ EXCELLENT",IF(M90&gt;=0.12,"★★  GOOD",IF(M90&gt;=0.07,"★  FAIR",IF(M90&gt;=0.025,"⚠  MARGINAL","✗  AVOID"))))</f>
        <v>★★★ EXCELLENT</v>
      </c>
    </row>
    <row r="91" customFormat="false" ht="15" hidden="false" customHeight="true" outlineLevel="0" collapsed="false">
      <c r="A91" s="245" t="n">
        <v>13.4</v>
      </c>
      <c r="B91" s="246"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46"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46"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46"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46"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46"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46"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46"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46"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46"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46"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46" t="n">
        <f aca="false">MIN(B91:L91)</f>
        <v>0.15059649122807</v>
      </c>
      <c r="N91" s="246" t="n">
        <f aca="false">SUMPRODUCT(($M$7:$M$557&gt;M91)*1)+SUMPRODUCT(($M$7:$M$557=M91)*(ROW($M$7:$M$557)&lt;ROW(M91)))+1</f>
        <v>2</v>
      </c>
      <c r="O91" s="246" t="str">
        <f aca="false">IF(M91&gt;=0.13,"★★★ EXCELLENT",IF(M91&gt;=0.12,"★★  GOOD",IF(M91&gt;=0.07,"★  FAIR",IF(M91&gt;=0.025,"⚠  MARGINAL","✗  AVOID"))))</f>
        <v>★★★ EXCELLENT</v>
      </c>
    </row>
    <row r="92" customFormat="false" ht="15" hidden="false" customHeight="true" outlineLevel="0" collapsed="false">
      <c r="A92" s="247" t="n">
        <v>13.5</v>
      </c>
      <c r="B92" s="248"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48"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48"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48"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48"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48"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48"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48"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48"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48"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48"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48" t="n">
        <f aca="false">MIN(B92:L92)</f>
        <v>0.140526315789474</v>
      </c>
      <c r="N92" s="248" t="n">
        <f aca="false">SUMPRODUCT(($M$7:$M$557&gt;M92)*1)+SUMPRODUCT(($M$7:$M$557=M92)*(ROW($M$7:$M$557)&lt;ROW(M92)))+1</f>
        <v>8</v>
      </c>
      <c r="O92" s="248" t="str">
        <f aca="false">IF(M92&gt;=0.13,"★★★ EXCELLENT",IF(M92&gt;=0.12,"★★  GOOD",IF(M92&gt;=0.07,"★  FAIR",IF(M92&gt;=0.025,"⚠  MARGINAL","✗  AVOID"))))</f>
        <v>★★★ EXCELLENT</v>
      </c>
    </row>
    <row r="93" customFormat="false" ht="15" hidden="false" customHeight="true" outlineLevel="0" collapsed="false">
      <c r="A93" s="245" t="n">
        <v>13.6</v>
      </c>
      <c r="B93" s="246"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46"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46"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46"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46"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46"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46"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46"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46"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46"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46"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46" t="n">
        <f aca="false">MIN(B93:L93)</f>
        <v>0.130456140350877</v>
      </c>
      <c r="N93" s="246" t="n">
        <f aca="false">SUMPRODUCT(($M$7:$M$557&gt;M93)*1)+SUMPRODUCT(($M$7:$M$557=M93)*(ROW($M$7:$M$557)&lt;ROW(M93)))+1</f>
        <v>20</v>
      </c>
      <c r="O93" s="246" t="str">
        <f aca="false">IF(M93&gt;=0.13,"★★★ EXCELLENT",IF(M93&gt;=0.12,"★★  GOOD",IF(M93&gt;=0.07,"★  FAIR",IF(M93&gt;=0.025,"⚠  MARGINAL","✗  AVOID"))))</f>
        <v>★★★ EXCELLENT</v>
      </c>
    </row>
    <row r="94" customFormat="false" ht="15" hidden="false" customHeight="true" outlineLevel="0" collapsed="false">
      <c r="A94" s="247" t="n">
        <v>13.7</v>
      </c>
      <c r="B94" s="248"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48"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48"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48"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48"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48"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48"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48"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48"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48"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48"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48" t="n">
        <f aca="false">MIN(B94:L94)</f>
        <v>0.120385964912281</v>
      </c>
      <c r="N94" s="248" t="n">
        <f aca="false">SUMPRODUCT(($M$7:$M$557&gt;M94)*1)+SUMPRODUCT(($M$7:$M$557=M94)*(ROW($M$7:$M$557)&lt;ROW(M94)))+1</f>
        <v>39</v>
      </c>
      <c r="O94" s="248" t="str">
        <f aca="false">IF(M94&gt;=0.13,"★★★ EXCELLENT",IF(M94&gt;=0.12,"★★  GOOD",IF(M94&gt;=0.07,"★  FAIR",IF(M94&gt;=0.025,"⚠  MARGINAL","✗  AVOID"))))</f>
        <v>★★  GOOD</v>
      </c>
    </row>
    <row r="95" customFormat="false" ht="15" hidden="false" customHeight="true" outlineLevel="0" collapsed="false">
      <c r="A95" s="245" t="n">
        <v>13.8</v>
      </c>
      <c r="B95" s="246"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46"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46"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46"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46"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46"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46"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46"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46"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46"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46"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46" t="n">
        <f aca="false">MIN(B95:L95)</f>
        <v>0.110315789473684</v>
      </c>
      <c r="N95" s="246" t="n">
        <f aca="false">SUMPRODUCT(($M$7:$M$557&gt;M95)*1)+SUMPRODUCT(($M$7:$M$557=M95)*(ROW($M$7:$M$557)&lt;ROW(M95)))+1</f>
        <v>61</v>
      </c>
      <c r="O95" s="246" t="str">
        <f aca="false">IF(M95&gt;=0.13,"★★★ EXCELLENT",IF(M95&gt;=0.12,"★★  GOOD",IF(M95&gt;=0.07,"★  FAIR",IF(M95&gt;=0.025,"⚠  MARGINAL","✗  AVOID"))))</f>
        <v>★  FAIR</v>
      </c>
    </row>
    <row r="96" customFormat="false" ht="15" hidden="false" customHeight="true" outlineLevel="0" collapsed="false">
      <c r="A96" s="247" t="n">
        <v>13.9</v>
      </c>
      <c r="B96" s="248"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48"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48"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48"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48"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48"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48"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48"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48"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48"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48"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48" t="n">
        <f aca="false">MIN(B96:L96)</f>
        <v>0.100245614035088</v>
      </c>
      <c r="N96" s="248" t="n">
        <f aca="false">SUMPRODUCT(($M$7:$M$557&gt;M96)*1)+SUMPRODUCT(($M$7:$M$557=M96)*(ROW($M$7:$M$557)&lt;ROW(M96)))+1</f>
        <v>86</v>
      </c>
      <c r="O96" s="248" t="str">
        <f aca="false">IF(M96&gt;=0.13,"★★★ EXCELLENT",IF(M96&gt;=0.12,"★★  GOOD",IF(M96&gt;=0.07,"★  FAIR",IF(M96&gt;=0.025,"⚠  MARGINAL","✗  AVOID"))))</f>
        <v>★  FAIR</v>
      </c>
    </row>
    <row r="97" customFormat="false" ht="15" hidden="false" customHeight="true" outlineLevel="0" collapsed="false">
      <c r="A97" s="245" t="n">
        <v>14</v>
      </c>
      <c r="B97" s="246"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46"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46"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46"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46"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46"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46"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46"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46"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46"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46"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46" t="n">
        <f aca="false">MIN(B97:L97)</f>
        <v>0.0901754385964912</v>
      </c>
      <c r="N97" s="246" t="n">
        <f aca="false">SUMPRODUCT(($M$7:$M$557&gt;M97)*1)+SUMPRODUCT(($M$7:$M$557=M97)*(ROW($M$7:$M$557)&lt;ROW(M97)))+1</f>
        <v>113</v>
      </c>
      <c r="O97" s="246" t="str">
        <f aca="false">IF(M97&gt;=0.13,"★★★ EXCELLENT",IF(M97&gt;=0.12,"★★  GOOD",IF(M97&gt;=0.07,"★  FAIR",IF(M97&gt;=0.025,"⚠  MARGINAL","✗  AVOID"))))</f>
        <v>★  FAIR</v>
      </c>
    </row>
    <row r="98" customFormat="false" ht="15" hidden="false" customHeight="true" outlineLevel="0" collapsed="false">
      <c r="A98" s="247" t="n">
        <v>14.1</v>
      </c>
      <c r="B98" s="248"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48"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48"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48"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48"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48"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48"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48"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48"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48"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48"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48" t="n">
        <f aca="false">MIN(B98:L98)</f>
        <v>0.0801052631578949</v>
      </c>
      <c r="N98" s="248" t="n">
        <f aca="false">SUMPRODUCT(($M$7:$M$557&gt;M98)*1)+SUMPRODUCT(($M$7:$M$557=M98)*(ROW($M$7:$M$557)&lt;ROW(M98)))+1</f>
        <v>142</v>
      </c>
      <c r="O98" s="248" t="str">
        <f aca="false">IF(M98&gt;=0.13,"★★★ EXCELLENT",IF(M98&gt;=0.12,"★★  GOOD",IF(M98&gt;=0.07,"★  FAIR",IF(M98&gt;=0.025,"⚠  MARGINAL","✗  AVOID"))))</f>
        <v>★  FAIR</v>
      </c>
    </row>
    <row r="99" customFormat="false" ht="15" hidden="false" customHeight="true" outlineLevel="0" collapsed="false">
      <c r="A99" s="245" t="n">
        <v>14.2</v>
      </c>
      <c r="B99" s="246"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46"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46"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46"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46"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46"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46"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46"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46"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46"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46"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46" t="n">
        <f aca="false">MIN(B99:L99)</f>
        <v>0.0700350877192983</v>
      </c>
      <c r="N99" s="246" t="n">
        <f aca="false">SUMPRODUCT(($M$7:$M$557&gt;M99)*1)+SUMPRODUCT(($M$7:$M$557=M99)*(ROW($M$7:$M$557)&lt;ROW(M99)))+1</f>
        <v>172</v>
      </c>
      <c r="O99" s="246" t="str">
        <f aca="false">IF(M99&gt;=0.13,"★★★ EXCELLENT",IF(M99&gt;=0.12,"★★  GOOD",IF(M99&gt;=0.07,"★  FAIR",IF(M99&gt;=0.025,"⚠  MARGINAL","✗  AVOID"))))</f>
        <v>★  FAIR</v>
      </c>
    </row>
    <row r="100" customFormat="false" ht="15" hidden="false" customHeight="true" outlineLevel="0" collapsed="false">
      <c r="A100" s="247" t="n">
        <v>14.3</v>
      </c>
      <c r="B100" s="248"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48"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48"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48"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48"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48"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48"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48"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48"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48"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48"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48" t="n">
        <f aca="false">MIN(B100:L100)</f>
        <v>0.0599649122807018</v>
      </c>
      <c r="N100" s="248" t="n">
        <f aca="false">SUMPRODUCT(($M$7:$M$557&gt;M100)*1)+SUMPRODUCT(($M$7:$M$557=M100)*(ROW($M$7:$M$557)&lt;ROW(M100)))+1</f>
        <v>203</v>
      </c>
      <c r="O100" s="248" t="str">
        <f aca="false">IF(M100&gt;=0.13,"★★★ EXCELLENT",IF(M100&gt;=0.12,"★★  GOOD",IF(M100&gt;=0.07,"★  FAIR",IF(M100&gt;=0.025,"⚠  MARGINAL","✗  AVOID"))))</f>
        <v>⚠  MARGINAL</v>
      </c>
    </row>
    <row r="101" customFormat="false" ht="15" hidden="false" customHeight="true" outlineLevel="0" collapsed="false">
      <c r="A101" s="245" t="n">
        <v>14.4</v>
      </c>
      <c r="B101" s="246"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46"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46"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46"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46"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46"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46"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46"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46"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46"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46"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46" t="n">
        <f aca="false">MIN(B101:L101)</f>
        <v>0.0498947368421054</v>
      </c>
      <c r="N101" s="246" t="n">
        <f aca="false">SUMPRODUCT(($M$7:$M$557&gt;M101)*1)+SUMPRODUCT(($M$7:$M$557=M101)*(ROW($M$7:$M$557)&lt;ROW(M101)))+1</f>
        <v>233</v>
      </c>
      <c r="O101" s="246" t="str">
        <f aca="false">IF(M101&gt;=0.13,"★★★ EXCELLENT",IF(M101&gt;=0.12,"★★  GOOD",IF(M101&gt;=0.07,"★  FAIR",IF(M101&gt;=0.025,"⚠  MARGINAL","✗  AVOID"))))</f>
        <v>⚠  MARGINAL</v>
      </c>
    </row>
    <row r="102" customFormat="false" ht="15" hidden="false" customHeight="true" outlineLevel="0" collapsed="false">
      <c r="A102" s="247" t="n">
        <v>14.5</v>
      </c>
      <c r="B102" s="248"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48"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48"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48"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48"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48"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48"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48"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48"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48"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48"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48" t="n">
        <f aca="false">MIN(B102:L102)</f>
        <v>0.0398245614035089</v>
      </c>
      <c r="N102" s="248" t="n">
        <f aca="false">SUMPRODUCT(($M$7:$M$557&gt;M102)*1)+SUMPRODUCT(($M$7:$M$557=M102)*(ROW($M$7:$M$557)&lt;ROW(M102)))+1</f>
        <v>263</v>
      </c>
      <c r="O102" s="248" t="str">
        <f aca="false">IF(M102&gt;=0.13,"★★★ EXCELLENT",IF(M102&gt;=0.12,"★★  GOOD",IF(M102&gt;=0.07,"★  FAIR",IF(M102&gt;=0.025,"⚠  MARGINAL","✗  AVOID"))))</f>
        <v>⚠  MARGINAL</v>
      </c>
    </row>
    <row r="103" customFormat="false" ht="15" hidden="false" customHeight="true" outlineLevel="0" collapsed="false">
      <c r="A103" s="245" t="n">
        <v>14.6</v>
      </c>
      <c r="B103" s="246"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46"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46"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46"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46"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46"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46"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46"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46"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46"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46"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46" t="n">
        <f aca="false">MIN(B103:L103)</f>
        <v>0.0297543859649123</v>
      </c>
      <c r="N103" s="246" t="n">
        <f aca="false">SUMPRODUCT(($M$7:$M$557&gt;M103)*1)+SUMPRODUCT(($M$7:$M$557=M103)*(ROW($M$7:$M$557)&lt;ROW(M103)))+1</f>
        <v>293</v>
      </c>
      <c r="O103" s="246" t="str">
        <f aca="false">IF(M103&gt;=0.13,"★★★ EXCELLENT",IF(M103&gt;=0.12,"★★  GOOD",IF(M103&gt;=0.07,"★  FAIR",IF(M103&gt;=0.025,"⚠  MARGINAL","✗  AVOID"))))</f>
        <v>⚠  MARGINAL</v>
      </c>
    </row>
    <row r="104" customFormat="false" ht="15" hidden="false" customHeight="true" outlineLevel="0" collapsed="false">
      <c r="A104" s="247" t="n">
        <v>14.7</v>
      </c>
      <c r="B104" s="248"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48"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48"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48"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48"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48"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48"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48"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48"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48"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48"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48" t="n">
        <f aca="false">MIN(B104:L104)</f>
        <v>0.0196842105263158</v>
      </c>
      <c r="N104" s="248" t="n">
        <f aca="false">SUMPRODUCT(($M$7:$M$557&gt;M104)*1)+SUMPRODUCT(($M$7:$M$557=M104)*(ROW($M$7:$M$557)&lt;ROW(M104)))+1</f>
        <v>323</v>
      </c>
      <c r="O104" s="248" t="str">
        <f aca="false">IF(M104&gt;=0.13,"★★★ EXCELLENT",IF(M104&gt;=0.12,"★★  GOOD",IF(M104&gt;=0.07,"★  FAIR",IF(M104&gt;=0.025,"⚠  MARGINAL","✗  AVOID"))))</f>
        <v>✗  AVOID</v>
      </c>
    </row>
    <row r="105" customFormat="false" ht="15" hidden="false" customHeight="true" outlineLevel="0" collapsed="false">
      <c r="A105" s="245" t="n">
        <v>14.8</v>
      </c>
      <c r="B105" s="246"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46"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46"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46"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46"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46"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46"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46"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46"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46"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46"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46" t="n">
        <f aca="false">MIN(B105:L105)</f>
        <v>0.00961403508771941</v>
      </c>
      <c r="N105" s="246" t="n">
        <f aca="false">SUMPRODUCT(($M$7:$M$557&gt;M105)*1)+SUMPRODUCT(($M$7:$M$557=M105)*(ROW($M$7:$M$557)&lt;ROW(M105)))+1</f>
        <v>353</v>
      </c>
      <c r="O105" s="246" t="str">
        <f aca="false">IF(M105&gt;=0.13,"★★★ EXCELLENT",IF(M105&gt;=0.12,"★★  GOOD",IF(M105&gt;=0.07,"★  FAIR",IF(M105&gt;=0.025,"⚠  MARGINAL","✗  AVOID"))))</f>
        <v>✗  AVOID</v>
      </c>
    </row>
    <row r="106" customFormat="false" ht="15" hidden="false" customHeight="true" outlineLevel="0" collapsed="false">
      <c r="A106" s="247" t="n">
        <v>14.9</v>
      </c>
      <c r="B106" s="248"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48"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48"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48"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48"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48"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48"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48"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48"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48"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48"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48" t="n">
        <f aca="false">MIN(B106:L106)</f>
        <v>0</v>
      </c>
      <c r="N106" s="248" t="n">
        <f aca="false">SUMPRODUCT(($M$7:$M$557&gt;M106)*1)+SUMPRODUCT(($M$7:$M$557=M106)*(ROW($M$7:$M$557)&lt;ROW(M106)))+1</f>
        <v>435</v>
      </c>
      <c r="O106" s="248" t="str">
        <f aca="false">IF(M106&gt;=0.13,"★★★ EXCELLENT",IF(M106&gt;=0.12,"★★  GOOD",IF(M106&gt;=0.07,"★  FAIR",IF(M106&gt;=0.025,"⚠  MARGINAL","✗  AVOID"))))</f>
        <v>✗  AVOID</v>
      </c>
    </row>
    <row r="107" customFormat="false" ht="15" hidden="false" customHeight="true" outlineLevel="0" collapsed="false">
      <c r="A107" s="245" t="n">
        <v>15</v>
      </c>
      <c r="B107" s="246"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46"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46"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46"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46"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46"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46"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46"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46"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46"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46"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46" t="n">
        <f aca="false">MIN(B107:L107)</f>
        <v>0</v>
      </c>
      <c r="N107" s="246" t="n">
        <f aca="false">SUMPRODUCT(($M$7:$M$557&gt;M107)*1)+SUMPRODUCT(($M$7:$M$557=M107)*(ROW($M$7:$M$557)&lt;ROW(M107)))+1</f>
        <v>436</v>
      </c>
      <c r="O107" s="246" t="str">
        <f aca="false">IF(M107&gt;=0.13,"★★★ EXCELLENT",IF(M107&gt;=0.12,"★★  GOOD",IF(M107&gt;=0.07,"★  FAIR",IF(M107&gt;=0.025,"⚠  MARGINAL","✗  AVOID"))))</f>
        <v>✗  AVOID</v>
      </c>
    </row>
    <row r="108" customFormat="false" ht="15" hidden="false" customHeight="true" outlineLevel="0" collapsed="false">
      <c r="A108" s="247" t="n">
        <v>15.1</v>
      </c>
      <c r="B108" s="248"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48"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48"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48"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48"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48"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48"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48"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48"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48"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48"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48" t="n">
        <f aca="false">MIN(B108:L108)</f>
        <v>0</v>
      </c>
      <c r="N108" s="248" t="n">
        <f aca="false">SUMPRODUCT(($M$7:$M$557&gt;M108)*1)+SUMPRODUCT(($M$7:$M$557=M108)*(ROW($M$7:$M$557)&lt;ROW(M108)))+1</f>
        <v>437</v>
      </c>
      <c r="O108" s="248" t="str">
        <f aca="false">IF(M108&gt;=0.13,"★★★ EXCELLENT",IF(M108&gt;=0.12,"★★  GOOD",IF(M108&gt;=0.07,"★  FAIR",IF(M108&gt;=0.025,"⚠  MARGINAL","✗  AVOID"))))</f>
        <v>✗  AVOID</v>
      </c>
    </row>
    <row r="109" customFormat="false" ht="15" hidden="false" customHeight="true" outlineLevel="0" collapsed="false">
      <c r="A109" s="245" t="n">
        <v>15.2</v>
      </c>
      <c r="B109" s="246"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46"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46"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46"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46"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46"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46"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46"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46"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46"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46"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46" t="n">
        <f aca="false">MIN(B109:L109)</f>
        <v>0</v>
      </c>
      <c r="N109" s="246" t="n">
        <f aca="false">SUMPRODUCT(($M$7:$M$557&gt;M109)*1)+SUMPRODUCT(($M$7:$M$557=M109)*(ROW($M$7:$M$557)&lt;ROW(M109)))+1</f>
        <v>438</v>
      </c>
      <c r="O109" s="246" t="str">
        <f aca="false">IF(M109&gt;=0.13,"★★★ EXCELLENT",IF(M109&gt;=0.12,"★★  GOOD",IF(M109&gt;=0.07,"★  FAIR",IF(M109&gt;=0.025,"⚠  MARGINAL","✗  AVOID"))))</f>
        <v>✗  AVOID</v>
      </c>
    </row>
    <row r="110" customFormat="false" ht="15" hidden="false" customHeight="true" outlineLevel="0" collapsed="false">
      <c r="A110" s="247" t="n">
        <v>15.3</v>
      </c>
      <c r="B110" s="248"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48"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48"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48"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48"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48"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48"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48"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48"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48"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48"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48" t="n">
        <f aca="false">MIN(B110:L110)</f>
        <v>0.00315789473684225</v>
      </c>
      <c r="N110" s="248" t="n">
        <f aca="false">SUMPRODUCT(($M$7:$M$557&gt;M110)*1)+SUMPRODUCT(($M$7:$M$557=M110)*(ROW($M$7:$M$557)&lt;ROW(M110)))+1</f>
        <v>371</v>
      </c>
      <c r="O110" s="248" t="str">
        <f aca="false">IF(M110&gt;=0.13,"★★★ EXCELLENT",IF(M110&gt;=0.12,"★★  GOOD",IF(M110&gt;=0.07,"★  FAIR",IF(M110&gt;=0.025,"⚠  MARGINAL","✗  AVOID"))))</f>
        <v>✗  AVOID</v>
      </c>
    </row>
    <row r="111" customFormat="false" ht="15" hidden="false" customHeight="true" outlineLevel="0" collapsed="false">
      <c r="A111" s="245" t="n">
        <v>15.4</v>
      </c>
      <c r="B111" s="246"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46"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46"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46"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46"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46"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46"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46"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46"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46"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46"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46" t="n">
        <f aca="false">MIN(B111:L111)</f>
        <v>0.0129824561403509</v>
      </c>
      <c r="N111" s="246" t="n">
        <f aca="false">SUMPRODUCT(($M$7:$M$557&gt;M111)*1)+SUMPRODUCT(($M$7:$M$557=M111)*(ROW($M$7:$M$557)&lt;ROW(M111)))+1</f>
        <v>342</v>
      </c>
      <c r="O111" s="246" t="str">
        <f aca="false">IF(M111&gt;=0.13,"★★★ EXCELLENT",IF(M111&gt;=0.12,"★★  GOOD",IF(M111&gt;=0.07,"★  FAIR",IF(M111&gt;=0.025,"⚠  MARGINAL","✗  AVOID"))))</f>
        <v>✗  AVOID</v>
      </c>
    </row>
    <row r="112" customFormat="false" ht="15" hidden="false" customHeight="true" outlineLevel="0" collapsed="false">
      <c r="A112" s="247" t="n">
        <v>15.5</v>
      </c>
      <c r="B112" s="248"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48"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48"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48"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48"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48"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48"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48"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48"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48"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48"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48" t="n">
        <f aca="false">MIN(B112:L112)</f>
        <v>0.0228070175438597</v>
      </c>
      <c r="N112" s="248" t="n">
        <f aca="false">SUMPRODUCT(($M$7:$M$557&gt;M112)*1)+SUMPRODUCT(($M$7:$M$557=M112)*(ROW($M$7:$M$557)&lt;ROW(M112)))+1</f>
        <v>312</v>
      </c>
      <c r="O112" s="248" t="str">
        <f aca="false">IF(M112&gt;=0.13,"★★★ EXCELLENT",IF(M112&gt;=0.12,"★★  GOOD",IF(M112&gt;=0.07,"★  FAIR",IF(M112&gt;=0.025,"⚠  MARGINAL","✗  AVOID"))))</f>
        <v>✗  AVOID</v>
      </c>
    </row>
    <row r="113" customFormat="false" ht="15" hidden="false" customHeight="true" outlineLevel="0" collapsed="false">
      <c r="A113" s="245" t="n">
        <v>15.6</v>
      </c>
      <c r="B113" s="246"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46"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46"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46"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46"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46"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46"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46"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46"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46"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46"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46" t="n">
        <f aca="false">MIN(B113:L113)</f>
        <v>0.0326315789473686</v>
      </c>
      <c r="N113" s="246" t="n">
        <f aca="false">SUMPRODUCT(($M$7:$M$557&gt;M113)*1)+SUMPRODUCT(($M$7:$M$557=M113)*(ROW($M$7:$M$557)&lt;ROW(M113)))+1</f>
        <v>284</v>
      </c>
      <c r="O113" s="246" t="str">
        <f aca="false">IF(M113&gt;=0.13,"★★★ EXCELLENT",IF(M113&gt;=0.12,"★★  GOOD",IF(M113&gt;=0.07,"★  FAIR",IF(M113&gt;=0.025,"⚠  MARGINAL","✗  AVOID"))))</f>
        <v>⚠  MARGINAL</v>
      </c>
    </row>
    <row r="114" customFormat="false" ht="15" hidden="false" customHeight="true" outlineLevel="0" collapsed="false">
      <c r="A114" s="247" t="n">
        <v>15.7</v>
      </c>
      <c r="B114" s="248"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48"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48"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48"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48"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48"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48"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48"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48"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48"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48"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48" t="n">
        <f aca="false">MIN(B114:L114)</f>
        <v>0.042456140350877</v>
      </c>
      <c r="N114" s="248" t="n">
        <f aca="false">SUMPRODUCT(($M$7:$M$557&gt;M114)*1)+SUMPRODUCT(($M$7:$M$557=M114)*(ROW($M$7:$M$557)&lt;ROW(M114)))+1</f>
        <v>254</v>
      </c>
      <c r="O114" s="248" t="str">
        <f aca="false">IF(M114&gt;=0.13,"★★★ EXCELLENT",IF(M114&gt;=0.12,"★★  GOOD",IF(M114&gt;=0.07,"★  FAIR",IF(M114&gt;=0.025,"⚠  MARGINAL","✗  AVOID"))))</f>
        <v>⚠  MARGINAL</v>
      </c>
    </row>
    <row r="115" customFormat="false" ht="15" hidden="false" customHeight="true" outlineLevel="0" collapsed="false">
      <c r="A115" s="245" t="n">
        <v>15.8</v>
      </c>
      <c r="B115" s="246"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46"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46"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46"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46"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46"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46"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46"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46"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46"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46"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46" t="n">
        <f aca="false">MIN(B115:L115)</f>
        <v>0.052280701754386</v>
      </c>
      <c r="N115" s="246" t="n">
        <f aca="false">SUMPRODUCT(($M$7:$M$557&gt;M115)*1)+SUMPRODUCT(($M$7:$M$557=M115)*(ROW($M$7:$M$557)&lt;ROW(M115)))+1</f>
        <v>224</v>
      </c>
      <c r="O115" s="246" t="str">
        <f aca="false">IF(M115&gt;=0.13,"★★★ EXCELLENT",IF(M115&gt;=0.12,"★★  GOOD",IF(M115&gt;=0.07,"★  FAIR",IF(M115&gt;=0.025,"⚠  MARGINAL","✗  AVOID"))))</f>
        <v>⚠  MARGINAL</v>
      </c>
    </row>
    <row r="116" customFormat="false" ht="15" hidden="false" customHeight="true" outlineLevel="0" collapsed="false">
      <c r="A116" s="247" t="n">
        <v>15.9</v>
      </c>
      <c r="B116" s="248"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48"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48"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48"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48"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48"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48"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48"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48"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48"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48"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48" t="n">
        <f aca="false">MIN(B116:L116)</f>
        <v>0.0621052631578947</v>
      </c>
      <c r="N116" s="248" t="n">
        <f aca="false">SUMPRODUCT(($M$7:$M$557&gt;M116)*1)+SUMPRODUCT(($M$7:$M$557=M116)*(ROW($M$7:$M$557)&lt;ROW(M116)))+1</f>
        <v>196</v>
      </c>
      <c r="O116" s="248" t="str">
        <f aca="false">IF(M116&gt;=0.13,"★★★ EXCELLENT",IF(M116&gt;=0.12,"★★  GOOD",IF(M116&gt;=0.07,"★  FAIR",IF(M116&gt;=0.025,"⚠  MARGINAL","✗  AVOID"))))</f>
        <v>⚠  MARGINAL</v>
      </c>
    </row>
    <row r="117" customFormat="false" ht="15" hidden="false" customHeight="true" outlineLevel="0" collapsed="false">
      <c r="A117" s="245" t="n">
        <v>16</v>
      </c>
      <c r="B117" s="246"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46"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46"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46"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46"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46"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46"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46"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46"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46"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46"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46" t="n">
        <f aca="false">MIN(B117:L117)</f>
        <v>0.0719298245614035</v>
      </c>
      <c r="N117" s="246" t="n">
        <f aca="false">SUMPRODUCT(($M$7:$M$557&gt;M117)*1)+SUMPRODUCT(($M$7:$M$557=M117)*(ROW($M$7:$M$557)&lt;ROW(M117)))+1</f>
        <v>166</v>
      </c>
      <c r="O117" s="246" t="str">
        <f aca="false">IF(M117&gt;=0.13,"★★★ EXCELLENT",IF(M117&gt;=0.12,"★★  GOOD",IF(M117&gt;=0.07,"★  FAIR",IF(M117&gt;=0.025,"⚠  MARGINAL","✗  AVOID"))))</f>
        <v>★  FAIR</v>
      </c>
    </row>
    <row r="118" customFormat="false" ht="15" hidden="false" customHeight="true" outlineLevel="0" collapsed="false">
      <c r="A118" s="247" t="n">
        <v>16.1</v>
      </c>
      <c r="B118" s="248"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48"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48"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48"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48"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48"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48"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48"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48"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48"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48"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48" t="n">
        <f aca="false">MIN(B118:L118)</f>
        <v>0.0817543859649126</v>
      </c>
      <c r="N118" s="248" t="n">
        <f aca="false">SUMPRODUCT(($M$7:$M$557&gt;M118)*1)+SUMPRODUCT(($M$7:$M$557=M118)*(ROW($M$7:$M$557)&lt;ROW(M118)))+1</f>
        <v>137</v>
      </c>
      <c r="O118" s="248" t="str">
        <f aca="false">IF(M118&gt;=0.13,"★★★ EXCELLENT",IF(M118&gt;=0.12,"★★  GOOD",IF(M118&gt;=0.07,"★  FAIR",IF(M118&gt;=0.025,"⚠  MARGINAL","✗  AVOID"))))</f>
        <v>★  FAIR</v>
      </c>
    </row>
    <row r="119" customFormat="false" ht="15" hidden="false" customHeight="true" outlineLevel="0" collapsed="false">
      <c r="A119" s="245" t="n">
        <v>16.2</v>
      </c>
      <c r="B119" s="246"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46"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46"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46"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46"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46"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46"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46"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46"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46"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46"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46" t="n">
        <f aca="false">MIN(B119:L119)</f>
        <v>0.091578947368421</v>
      </c>
      <c r="N119" s="246" t="n">
        <f aca="false">SUMPRODUCT(($M$7:$M$557&gt;M119)*1)+SUMPRODUCT(($M$7:$M$557=M119)*(ROW($M$7:$M$557)&lt;ROW(M119)))+1</f>
        <v>109</v>
      </c>
      <c r="O119" s="246" t="str">
        <f aca="false">IF(M119&gt;=0.13,"★★★ EXCELLENT",IF(M119&gt;=0.12,"★★  GOOD",IF(M119&gt;=0.07,"★  FAIR",IF(M119&gt;=0.025,"⚠  MARGINAL","✗  AVOID"))))</f>
        <v>★  FAIR</v>
      </c>
    </row>
    <row r="120" customFormat="false" ht="15" hidden="false" customHeight="true" outlineLevel="0" collapsed="false">
      <c r="A120" s="247" t="n">
        <v>16.3</v>
      </c>
      <c r="B120" s="248"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48"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48"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48"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48"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48"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48"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48"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48"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48"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48"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48" t="n">
        <f aca="false">MIN(B120:L120)</f>
        <v>0.10140350877193</v>
      </c>
      <c r="N120" s="248" t="n">
        <f aca="false">SUMPRODUCT(($M$7:$M$557&gt;M120)*1)+SUMPRODUCT(($M$7:$M$557=M120)*(ROW($M$7:$M$557)&lt;ROW(M120)))+1</f>
        <v>83</v>
      </c>
      <c r="O120" s="248" t="str">
        <f aca="false">IF(M120&gt;=0.13,"★★★ EXCELLENT",IF(M120&gt;=0.12,"★★  GOOD",IF(M120&gt;=0.07,"★  FAIR",IF(M120&gt;=0.025,"⚠  MARGINAL","✗  AVOID"))))</f>
        <v>★  FAIR</v>
      </c>
    </row>
    <row r="121" customFormat="false" ht="15" hidden="false" customHeight="true" outlineLevel="0" collapsed="false">
      <c r="A121" s="245" t="n">
        <v>16.4</v>
      </c>
      <c r="B121" s="246"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46"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46"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46"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46"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46"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46"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46"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46"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46"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46"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46" t="n">
        <f aca="false">MIN(B121:L121)</f>
        <v>0.111228070175438</v>
      </c>
      <c r="N121" s="246" t="n">
        <f aca="false">SUMPRODUCT(($M$7:$M$557&gt;M121)*1)+SUMPRODUCT(($M$7:$M$557=M121)*(ROW($M$7:$M$557)&lt;ROW(M121)))+1</f>
        <v>59</v>
      </c>
      <c r="O121" s="246" t="str">
        <f aca="false">IF(M121&gt;=0.13,"★★★ EXCELLENT",IF(M121&gt;=0.12,"★★  GOOD",IF(M121&gt;=0.07,"★  FAIR",IF(M121&gt;=0.025,"⚠  MARGINAL","✗  AVOID"))))</f>
        <v>★  FAIR</v>
      </c>
    </row>
    <row r="122" customFormat="false" ht="15" hidden="false" customHeight="true" outlineLevel="0" collapsed="false">
      <c r="A122" s="247" t="n">
        <v>16.5</v>
      </c>
      <c r="B122" s="248"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48"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48"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48"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48"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48"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48"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48"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48"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48"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48"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48" t="n">
        <f aca="false">MIN(B122:L122)</f>
        <v>0.121052631578947</v>
      </c>
      <c r="N122" s="248" t="n">
        <f aca="false">SUMPRODUCT(($M$7:$M$557&gt;M122)*1)+SUMPRODUCT(($M$7:$M$557=M122)*(ROW($M$7:$M$557)&lt;ROW(M122)))+1</f>
        <v>37</v>
      </c>
      <c r="O122" s="248" t="str">
        <f aca="false">IF(M122&gt;=0.13,"★★★ EXCELLENT",IF(M122&gt;=0.12,"★★  GOOD",IF(M122&gt;=0.07,"★  FAIR",IF(M122&gt;=0.025,"⚠  MARGINAL","✗  AVOID"))))</f>
        <v>★★  GOOD</v>
      </c>
    </row>
    <row r="123" customFormat="false" ht="15" hidden="false" customHeight="true" outlineLevel="0" collapsed="false">
      <c r="A123" s="245" t="n">
        <v>16.6</v>
      </c>
      <c r="B123" s="246"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46"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46"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46"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46"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46"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46"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46"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46"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46"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46"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46" t="n">
        <f aca="false">MIN(B123:L123)</f>
        <v>0.130877192982456</v>
      </c>
      <c r="N123" s="246" t="n">
        <f aca="false">SUMPRODUCT(($M$7:$M$557&gt;M123)*1)+SUMPRODUCT(($M$7:$M$557=M123)*(ROW($M$7:$M$557)&lt;ROW(M123)))+1</f>
        <v>18</v>
      </c>
      <c r="O123" s="246" t="str">
        <f aca="false">IF(M123&gt;=0.13,"★★★ EXCELLENT",IF(M123&gt;=0.12,"★★  GOOD",IF(M123&gt;=0.07,"★  FAIR",IF(M123&gt;=0.025,"⚠  MARGINAL","✗  AVOID"))))</f>
        <v>★★★ EXCELLENT</v>
      </c>
    </row>
    <row r="124" customFormat="false" ht="15" hidden="false" customHeight="true" outlineLevel="0" collapsed="false">
      <c r="A124" s="247" t="n">
        <v>16.7</v>
      </c>
      <c r="B124" s="248"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48"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48"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48"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48"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48"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48"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48"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48"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48"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48"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48" t="n">
        <f aca="false">MIN(B124:L124)</f>
        <v>0.140701754385965</v>
      </c>
      <c r="N124" s="248" t="n">
        <f aca="false">SUMPRODUCT(($M$7:$M$557&gt;M124)*1)+SUMPRODUCT(($M$7:$M$557=M124)*(ROW($M$7:$M$557)&lt;ROW(M124)))+1</f>
        <v>7</v>
      </c>
      <c r="O124" s="248" t="str">
        <f aca="false">IF(M124&gt;=0.13,"★★★ EXCELLENT",IF(M124&gt;=0.12,"★★  GOOD",IF(M124&gt;=0.07,"★  FAIR",IF(M124&gt;=0.025,"⚠  MARGINAL","✗  AVOID"))))</f>
        <v>★★★ EXCELLENT</v>
      </c>
    </row>
    <row r="125" customFormat="false" ht="15" hidden="false" customHeight="true" outlineLevel="0" collapsed="false">
      <c r="A125" s="245" t="n">
        <v>16.8</v>
      </c>
      <c r="B125" s="246"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46"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46"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46"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46"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46"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46"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46"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46"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46"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46"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46" t="n">
        <f aca="false">MIN(B125:L125)</f>
        <v>0.139368421052632</v>
      </c>
      <c r="N125" s="246" t="n">
        <f aca="false">SUMPRODUCT(($M$7:$M$557&gt;M125)*1)+SUMPRODUCT(($M$7:$M$557=M125)*(ROW($M$7:$M$557)&lt;ROW(M125)))+1</f>
        <v>10</v>
      </c>
      <c r="O125" s="246" t="str">
        <f aca="false">IF(M125&gt;=0.13,"★★★ EXCELLENT",IF(M125&gt;=0.12,"★★  GOOD",IF(M125&gt;=0.07,"★  FAIR",IF(M125&gt;=0.025,"⚠  MARGINAL","✗  AVOID"))))</f>
        <v>★★★ EXCELLENT</v>
      </c>
    </row>
    <row r="126" customFormat="false" ht="15" hidden="false" customHeight="true" outlineLevel="0" collapsed="false">
      <c r="A126" s="247" t="n">
        <v>16.9</v>
      </c>
      <c r="B126" s="248"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48"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48"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48"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48"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48"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48"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48"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48"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48"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48"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48" t="n">
        <f aca="false">MIN(B126:L126)</f>
        <v>0.134245614035088</v>
      </c>
      <c r="N126" s="248" t="n">
        <f aca="false">SUMPRODUCT(($M$7:$M$557&gt;M126)*1)+SUMPRODUCT(($M$7:$M$557=M126)*(ROW($M$7:$M$557)&lt;ROW(M126)))+1</f>
        <v>15</v>
      </c>
      <c r="O126" s="248" t="str">
        <f aca="false">IF(M126&gt;=0.13,"★★★ EXCELLENT",IF(M126&gt;=0.12,"★★  GOOD",IF(M126&gt;=0.07,"★  FAIR",IF(M126&gt;=0.025,"⚠  MARGINAL","✗  AVOID"))))</f>
        <v>★★★ EXCELLENT</v>
      </c>
    </row>
    <row r="127" customFormat="false" ht="15" hidden="false" customHeight="true" outlineLevel="0" collapsed="false">
      <c r="A127" s="245" t="n">
        <v>17</v>
      </c>
      <c r="B127" s="246"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46"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46"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46"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46"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46"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46"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46"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46"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46"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46"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46" t="n">
        <f aca="false">MIN(B127:L127)</f>
        <v>0.129122807017544</v>
      </c>
      <c r="N127" s="246" t="n">
        <f aca="false">SUMPRODUCT(($M$7:$M$557&gt;M127)*1)+SUMPRODUCT(($M$7:$M$557=M127)*(ROW($M$7:$M$557)&lt;ROW(M127)))+1</f>
        <v>23</v>
      </c>
      <c r="O127" s="246" t="str">
        <f aca="false">IF(M127&gt;=0.13,"★★★ EXCELLENT",IF(M127&gt;=0.12,"★★  GOOD",IF(M127&gt;=0.07,"★  FAIR",IF(M127&gt;=0.025,"⚠  MARGINAL","✗  AVOID"))))</f>
        <v>★★  GOOD</v>
      </c>
    </row>
    <row r="128" customFormat="false" ht="15" hidden="false" customHeight="true" outlineLevel="0" collapsed="false">
      <c r="A128" s="247" t="n">
        <v>17.1</v>
      </c>
      <c r="B128" s="248"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48"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48"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48"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48"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48"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48"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48"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48"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48"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48"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48" t="n">
        <f aca="false">MIN(B128:L128)</f>
        <v>0.124</v>
      </c>
      <c r="N128" s="248" t="n">
        <f aca="false">SUMPRODUCT(($M$7:$M$557&gt;M128)*1)+SUMPRODUCT(($M$7:$M$557=M128)*(ROW($M$7:$M$557)&lt;ROW(M128)))+1</f>
        <v>30</v>
      </c>
      <c r="O128" s="248" t="str">
        <f aca="false">IF(M128&gt;=0.13,"★★★ EXCELLENT",IF(M128&gt;=0.12,"★★  GOOD",IF(M128&gt;=0.07,"★  FAIR",IF(M128&gt;=0.025,"⚠  MARGINAL","✗  AVOID"))))</f>
        <v>★★  GOOD</v>
      </c>
    </row>
    <row r="129" customFormat="false" ht="15" hidden="false" customHeight="true" outlineLevel="0" collapsed="false">
      <c r="A129" s="245" t="n">
        <v>17.2</v>
      </c>
      <c r="B129" s="246"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46"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46"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46"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46"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46"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46"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46"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46"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46"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46"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46" t="n">
        <f aca="false">MIN(B129:L129)</f>
        <v>0.118877192982456</v>
      </c>
      <c r="N129" s="246" t="n">
        <f aca="false">SUMPRODUCT(($M$7:$M$557&gt;M129)*1)+SUMPRODUCT(($M$7:$M$557=M129)*(ROW($M$7:$M$557)&lt;ROW(M129)))+1</f>
        <v>43</v>
      </c>
      <c r="O129" s="246" t="str">
        <f aca="false">IF(M129&gt;=0.13,"★★★ EXCELLENT",IF(M129&gt;=0.12,"★★  GOOD",IF(M129&gt;=0.07,"★  FAIR",IF(M129&gt;=0.025,"⚠  MARGINAL","✗  AVOID"))))</f>
        <v>★  FAIR</v>
      </c>
    </row>
    <row r="130" customFormat="false" ht="15" hidden="false" customHeight="true" outlineLevel="0" collapsed="false">
      <c r="A130" s="247" t="n">
        <v>17.3</v>
      </c>
      <c r="B130" s="248"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48"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48"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48"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48"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48"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48"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48"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48"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48"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48"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48" t="n">
        <f aca="false">MIN(B130:L130)</f>
        <v>0.113754385964912</v>
      </c>
      <c r="N130" s="248" t="n">
        <f aca="false">SUMPRODUCT(($M$7:$M$557&gt;M130)*1)+SUMPRODUCT(($M$7:$M$557=M130)*(ROW($M$7:$M$557)&lt;ROW(M130)))+1</f>
        <v>52</v>
      </c>
      <c r="O130" s="248" t="str">
        <f aca="false">IF(M130&gt;=0.13,"★★★ EXCELLENT",IF(M130&gt;=0.12,"★★  GOOD",IF(M130&gt;=0.07,"★  FAIR",IF(M130&gt;=0.025,"⚠  MARGINAL","✗  AVOID"))))</f>
        <v>★  FAIR</v>
      </c>
    </row>
    <row r="131" customFormat="false" ht="15" hidden="false" customHeight="true" outlineLevel="0" collapsed="false">
      <c r="A131" s="245" t="n">
        <v>17.4</v>
      </c>
      <c r="B131" s="246"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46"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46"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46"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46"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46"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46"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46"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46"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46"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46"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46" t="n">
        <f aca="false">MIN(B131:L131)</f>
        <v>0.108631578947369</v>
      </c>
      <c r="N131" s="246" t="n">
        <f aca="false">SUMPRODUCT(($M$7:$M$557&gt;M131)*1)+SUMPRODUCT(($M$7:$M$557=M131)*(ROW($M$7:$M$557)&lt;ROW(M131)))+1</f>
        <v>66</v>
      </c>
      <c r="O131" s="246" t="str">
        <f aca="false">IF(M131&gt;=0.13,"★★★ EXCELLENT",IF(M131&gt;=0.12,"★★  GOOD",IF(M131&gt;=0.07,"★  FAIR",IF(M131&gt;=0.025,"⚠  MARGINAL","✗  AVOID"))))</f>
        <v>★  FAIR</v>
      </c>
    </row>
    <row r="132" customFormat="false" ht="15" hidden="false" customHeight="true" outlineLevel="0" collapsed="false">
      <c r="A132" s="247" t="n">
        <v>17.5</v>
      </c>
      <c r="B132" s="248"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48"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48"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48"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48"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48"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48"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48"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48"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48"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48"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48" t="n">
        <f aca="false">MIN(B132:L132)</f>
        <v>0.103508771929825</v>
      </c>
      <c r="N132" s="248" t="n">
        <f aca="false">SUMPRODUCT(($M$7:$M$557&gt;M132)*1)+SUMPRODUCT(($M$7:$M$557=M132)*(ROW($M$7:$M$557)&lt;ROW(M132)))+1</f>
        <v>76</v>
      </c>
      <c r="O132" s="248" t="str">
        <f aca="false">IF(M132&gt;=0.13,"★★★ EXCELLENT",IF(M132&gt;=0.12,"★★  GOOD",IF(M132&gt;=0.07,"★  FAIR",IF(M132&gt;=0.025,"⚠  MARGINAL","✗  AVOID"))))</f>
        <v>★  FAIR</v>
      </c>
    </row>
    <row r="133" customFormat="false" ht="15" hidden="false" customHeight="true" outlineLevel="0" collapsed="false">
      <c r="A133" s="245" t="n">
        <v>17.6</v>
      </c>
      <c r="B133" s="246"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46"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46"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46"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46"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46"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46"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46"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46"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46"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46"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46" t="n">
        <f aca="false">MIN(B133:L133)</f>
        <v>0.0983859649122806</v>
      </c>
      <c r="N133" s="246" t="n">
        <f aca="false">SUMPRODUCT(($M$7:$M$557&gt;M133)*1)+SUMPRODUCT(($M$7:$M$557=M133)*(ROW($M$7:$M$557)&lt;ROW(M133)))+1</f>
        <v>91</v>
      </c>
      <c r="O133" s="246" t="str">
        <f aca="false">IF(M133&gt;=0.13,"★★★ EXCELLENT",IF(M133&gt;=0.12,"★★  GOOD",IF(M133&gt;=0.07,"★  FAIR",IF(M133&gt;=0.025,"⚠  MARGINAL","✗  AVOID"))))</f>
        <v>★  FAIR</v>
      </c>
    </row>
    <row r="134" customFormat="false" ht="15" hidden="false" customHeight="true" outlineLevel="0" collapsed="false">
      <c r="A134" s="247" t="n">
        <v>17.7</v>
      </c>
      <c r="B134" s="248"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48"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48"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48"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48"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48"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48"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48"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48"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48"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48"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48" t="n">
        <f aca="false">MIN(B134:L134)</f>
        <v>0.0932631578947369</v>
      </c>
      <c r="N134" s="248" t="n">
        <f aca="false">SUMPRODUCT(($M$7:$M$557&gt;M134)*1)+SUMPRODUCT(($M$7:$M$557=M134)*(ROW($M$7:$M$557)&lt;ROW(M134)))+1</f>
        <v>104</v>
      </c>
      <c r="O134" s="248" t="str">
        <f aca="false">IF(M134&gt;=0.13,"★★★ EXCELLENT",IF(M134&gt;=0.12,"★★  GOOD",IF(M134&gt;=0.07,"★  FAIR",IF(M134&gt;=0.025,"⚠  MARGINAL","✗  AVOID"))))</f>
        <v>★  FAIR</v>
      </c>
    </row>
    <row r="135" customFormat="false" ht="15" hidden="false" customHeight="true" outlineLevel="0" collapsed="false">
      <c r="A135" s="245" t="n">
        <v>17.8</v>
      </c>
      <c r="B135" s="246"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46"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46"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46"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46"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46"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46"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46"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46"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46"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46"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46" t="n">
        <f aca="false">MIN(B135:L135)</f>
        <v>0.088140350877193</v>
      </c>
      <c r="N135" s="246" t="n">
        <f aca="false">SUMPRODUCT(($M$7:$M$557&gt;M135)*1)+SUMPRODUCT(($M$7:$M$557=M135)*(ROW($M$7:$M$557)&lt;ROW(M135)))+1</f>
        <v>118</v>
      </c>
      <c r="O135" s="246" t="str">
        <f aca="false">IF(M135&gt;=0.13,"★★★ EXCELLENT",IF(M135&gt;=0.12,"★★  GOOD",IF(M135&gt;=0.07,"★  FAIR",IF(M135&gt;=0.025,"⚠  MARGINAL","✗  AVOID"))))</f>
        <v>★  FAIR</v>
      </c>
    </row>
    <row r="136" customFormat="false" ht="15" hidden="false" customHeight="true" outlineLevel="0" collapsed="false">
      <c r="A136" s="247" t="n">
        <v>17.9</v>
      </c>
      <c r="B136" s="248"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48"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48"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48"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48"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48"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48"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48"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48"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48"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48"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48" t="n">
        <f aca="false">MIN(B136:L136)</f>
        <v>0.0830175438596492</v>
      </c>
      <c r="N136" s="248" t="n">
        <f aca="false">SUMPRODUCT(($M$7:$M$557&gt;M136)*1)+SUMPRODUCT(($M$7:$M$557=M136)*(ROW($M$7:$M$557)&lt;ROW(M136)))+1</f>
        <v>133</v>
      </c>
      <c r="O136" s="248" t="str">
        <f aca="false">IF(M136&gt;=0.13,"★★★ EXCELLENT",IF(M136&gt;=0.12,"★★  GOOD",IF(M136&gt;=0.07,"★  FAIR",IF(M136&gt;=0.025,"⚠  MARGINAL","✗  AVOID"))))</f>
        <v>★  FAIR</v>
      </c>
    </row>
    <row r="137" customFormat="false" ht="15" hidden="false" customHeight="true" outlineLevel="0" collapsed="false">
      <c r="A137" s="245" t="n">
        <v>18</v>
      </c>
      <c r="B137" s="246"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46"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46"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46"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46"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46"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46"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46"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46"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46"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46"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46" t="n">
        <f aca="false">MIN(B137:L137)</f>
        <v>0.0778947368421052</v>
      </c>
      <c r="N137" s="246" t="n">
        <f aca="false">SUMPRODUCT(($M$7:$M$557&gt;M137)*1)+SUMPRODUCT(($M$7:$M$557=M137)*(ROW($M$7:$M$557)&lt;ROW(M137)))+1</f>
        <v>149</v>
      </c>
      <c r="O137" s="246" t="str">
        <f aca="false">IF(M137&gt;=0.13,"★★★ EXCELLENT",IF(M137&gt;=0.12,"★★  GOOD",IF(M137&gt;=0.07,"★  FAIR",IF(M137&gt;=0.025,"⚠  MARGINAL","✗  AVOID"))))</f>
        <v>★  FAIR</v>
      </c>
    </row>
    <row r="138" customFormat="false" ht="15" hidden="false" customHeight="true" outlineLevel="0" collapsed="false">
      <c r="A138" s="247" t="n">
        <v>18.1</v>
      </c>
      <c r="B138" s="248"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48"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48"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48"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48"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48"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48"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48"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48"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48"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48"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48" t="n">
        <f aca="false">MIN(B138:L138)</f>
        <v>0.0727719298245615</v>
      </c>
      <c r="N138" s="248" t="n">
        <f aca="false">SUMPRODUCT(($M$7:$M$557&gt;M138)*1)+SUMPRODUCT(($M$7:$M$557=M138)*(ROW($M$7:$M$557)&lt;ROW(M138)))+1</f>
        <v>164</v>
      </c>
      <c r="O138" s="248" t="str">
        <f aca="false">IF(M138&gt;=0.13,"★★★ EXCELLENT",IF(M138&gt;=0.12,"★★  GOOD",IF(M138&gt;=0.07,"★  FAIR",IF(M138&gt;=0.025,"⚠  MARGINAL","✗  AVOID"))))</f>
        <v>★  FAIR</v>
      </c>
    </row>
    <row r="139" customFormat="false" ht="15" hidden="false" customHeight="true" outlineLevel="0" collapsed="false">
      <c r="A139" s="245" t="n">
        <v>18.2</v>
      </c>
      <c r="B139" s="246"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46"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46"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46"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46"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46"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46"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46"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46"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46"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46"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46" t="n">
        <f aca="false">MIN(B139:L139)</f>
        <v>0.0676491228070176</v>
      </c>
      <c r="N139" s="246" t="n">
        <f aca="false">SUMPRODUCT(($M$7:$M$557&gt;M139)*1)+SUMPRODUCT(($M$7:$M$557=M139)*(ROW($M$7:$M$557)&lt;ROW(M139)))+1</f>
        <v>180</v>
      </c>
      <c r="O139" s="246" t="str">
        <f aca="false">IF(M139&gt;=0.13,"★★★ EXCELLENT",IF(M139&gt;=0.12,"★★  GOOD",IF(M139&gt;=0.07,"★  FAIR",IF(M139&gt;=0.025,"⚠  MARGINAL","✗  AVOID"))))</f>
        <v>⚠  MARGINAL</v>
      </c>
    </row>
    <row r="140" customFormat="false" ht="15" hidden="false" customHeight="true" outlineLevel="0" collapsed="false">
      <c r="A140" s="247" t="n">
        <v>18.3</v>
      </c>
      <c r="B140" s="248"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48"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48"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48"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48"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48"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48"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48"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48"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48"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48"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48" t="n">
        <f aca="false">MIN(B140:L140)</f>
        <v>0.0625263157894737</v>
      </c>
      <c r="N140" s="248" t="n">
        <f aca="false">SUMPRODUCT(($M$7:$M$557&gt;M140)*1)+SUMPRODUCT(($M$7:$M$557=M140)*(ROW($M$7:$M$557)&lt;ROW(M140)))+1</f>
        <v>194</v>
      </c>
      <c r="O140" s="248" t="str">
        <f aca="false">IF(M140&gt;=0.13,"★★★ EXCELLENT",IF(M140&gt;=0.12,"★★  GOOD",IF(M140&gt;=0.07,"★  FAIR",IF(M140&gt;=0.025,"⚠  MARGINAL","✗  AVOID"))))</f>
        <v>⚠  MARGINAL</v>
      </c>
    </row>
    <row r="141" customFormat="false" ht="15" hidden="false" customHeight="true" outlineLevel="0" collapsed="false">
      <c r="A141" s="245" t="n">
        <v>18.4</v>
      </c>
      <c r="B141" s="246"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46"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46"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46"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46"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46"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46"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46"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46"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46"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46"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46" t="n">
        <f aca="false">MIN(B141:L141)</f>
        <v>0.0574035087719299</v>
      </c>
      <c r="N141" s="246" t="n">
        <f aca="false">SUMPRODUCT(($M$7:$M$557&gt;M141)*1)+SUMPRODUCT(($M$7:$M$557=M141)*(ROW($M$7:$M$557)&lt;ROW(M141)))+1</f>
        <v>210</v>
      </c>
      <c r="O141" s="246" t="str">
        <f aca="false">IF(M141&gt;=0.13,"★★★ EXCELLENT",IF(M141&gt;=0.12,"★★  GOOD",IF(M141&gt;=0.07,"★  FAIR",IF(M141&gt;=0.025,"⚠  MARGINAL","✗  AVOID"))))</f>
        <v>⚠  MARGINAL</v>
      </c>
    </row>
    <row r="142" customFormat="false" ht="15" hidden="false" customHeight="true" outlineLevel="0" collapsed="false">
      <c r="A142" s="247" t="n">
        <v>18.5</v>
      </c>
      <c r="B142" s="248"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48"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48"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48"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48"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48"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48"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48"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48"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48"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48"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48" t="n">
        <f aca="false">MIN(B142:L142)</f>
        <v>0.052280701754386</v>
      </c>
      <c r="N142" s="248" t="n">
        <f aca="false">SUMPRODUCT(($M$7:$M$557&gt;M142)*1)+SUMPRODUCT(($M$7:$M$557=M142)*(ROW($M$7:$M$557)&lt;ROW(M142)))+1</f>
        <v>225</v>
      </c>
      <c r="O142" s="248" t="str">
        <f aca="false">IF(M142&gt;=0.13,"★★★ EXCELLENT",IF(M142&gt;=0.12,"★★  GOOD",IF(M142&gt;=0.07,"★  FAIR",IF(M142&gt;=0.025,"⚠  MARGINAL","✗  AVOID"))))</f>
        <v>⚠  MARGINAL</v>
      </c>
    </row>
    <row r="143" customFormat="false" ht="15" hidden="false" customHeight="true" outlineLevel="0" collapsed="false">
      <c r="A143" s="245" t="n">
        <v>18.6</v>
      </c>
      <c r="B143" s="246"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46"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46"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46"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46"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46"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46"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46"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46"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46"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46"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46" t="n">
        <f aca="false">MIN(B143:L143)</f>
        <v>0.0471578947368421</v>
      </c>
      <c r="N143" s="246" t="n">
        <f aca="false">SUMPRODUCT(($M$7:$M$557&gt;M143)*1)+SUMPRODUCT(($M$7:$M$557=M143)*(ROW($M$7:$M$557)&lt;ROW(M143)))+1</f>
        <v>241</v>
      </c>
      <c r="O143" s="246" t="str">
        <f aca="false">IF(M143&gt;=0.13,"★★★ EXCELLENT",IF(M143&gt;=0.12,"★★  GOOD",IF(M143&gt;=0.07,"★  FAIR",IF(M143&gt;=0.025,"⚠  MARGINAL","✗  AVOID"))))</f>
        <v>⚠  MARGINAL</v>
      </c>
    </row>
    <row r="144" customFormat="false" ht="15" hidden="false" customHeight="true" outlineLevel="0" collapsed="false">
      <c r="A144" s="247" t="n">
        <v>18.7</v>
      </c>
      <c r="B144" s="248"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48"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48"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48"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48"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48"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48"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48"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48"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48"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48"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48" t="n">
        <f aca="false">MIN(B144:L144)</f>
        <v>0.0420350877192983</v>
      </c>
      <c r="N144" s="248" t="n">
        <f aca="false">SUMPRODUCT(($M$7:$M$557&gt;M144)*1)+SUMPRODUCT(($M$7:$M$557=M144)*(ROW($M$7:$M$557)&lt;ROW(M144)))+1</f>
        <v>256</v>
      </c>
      <c r="O144" s="248" t="str">
        <f aca="false">IF(M144&gt;=0.13,"★★★ EXCELLENT",IF(M144&gt;=0.12,"★★  GOOD",IF(M144&gt;=0.07,"★  FAIR",IF(M144&gt;=0.025,"⚠  MARGINAL","✗  AVOID"))))</f>
        <v>⚠  MARGINAL</v>
      </c>
    </row>
    <row r="145" customFormat="false" ht="15" hidden="false" customHeight="true" outlineLevel="0" collapsed="false">
      <c r="A145" s="245" t="n">
        <v>18.8</v>
      </c>
      <c r="B145" s="246"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46"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46"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46"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46"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46"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46"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46"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46"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46"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46"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46" t="n">
        <f aca="false">MIN(B145:L145)</f>
        <v>0.0369122807017543</v>
      </c>
      <c r="N145" s="246" t="n">
        <f aca="false">SUMPRODUCT(($M$7:$M$557&gt;M145)*1)+SUMPRODUCT(($M$7:$M$557=M145)*(ROW($M$7:$M$557)&lt;ROW(M145)))+1</f>
        <v>271</v>
      </c>
      <c r="O145" s="246" t="str">
        <f aca="false">IF(M145&gt;=0.13,"★★★ EXCELLENT",IF(M145&gt;=0.12,"★★  GOOD",IF(M145&gt;=0.07,"★  FAIR",IF(M145&gt;=0.025,"⚠  MARGINAL","✗  AVOID"))))</f>
        <v>⚠  MARGINAL</v>
      </c>
    </row>
    <row r="146" customFormat="false" ht="15" hidden="false" customHeight="true" outlineLevel="0" collapsed="false">
      <c r="A146" s="247" t="n">
        <v>18.9</v>
      </c>
      <c r="B146" s="248"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48"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48"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48"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48"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48"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48"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48"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48"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48"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48"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48" t="n">
        <f aca="false">MIN(B146:L146)</f>
        <v>0.0317894736842106</v>
      </c>
      <c r="N146" s="248" t="n">
        <f aca="false">SUMPRODUCT(($M$7:$M$557&gt;M146)*1)+SUMPRODUCT(($M$7:$M$557=M146)*(ROW($M$7:$M$557)&lt;ROW(M146)))+1</f>
        <v>287</v>
      </c>
      <c r="O146" s="248" t="str">
        <f aca="false">IF(M146&gt;=0.13,"★★★ EXCELLENT",IF(M146&gt;=0.12,"★★  GOOD",IF(M146&gt;=0.07,"★  FAIR",IF(M146&gt;=0.025,"⚠  MARGINAL","✗  AVOID"))))</f>
        <v>⚠  MARGINAL</v>
      </c>
    </row>
    <row r="147" customFormat="false" ht="15" hidden="false" customHeight="true" outlineLevel="0" collapsed="false">
      <c r="A147" s="245" t="n">
        <v>19</v>
      </c>
      <c r="B147" s="246"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46"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46"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46"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46"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46"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46"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46"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46"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46"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46"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46" t="n">
        <f aca="false">MIN(B147:L147)</f>
        <v>0.0266666666666667</v>
      </c>
      <c r="N147" s="246" t="n">
        <f aca="false">SUMPRODUCT(($M$7:$M$557&gt;M147)*1)+SUMPRODUCT(($M$7:$M$557=M147)*(ROW($M$7:$M$557)&lt;ROW(M147)))+1</f>
        <v>302</v>
      </c>
      <c r="O147" s="246" t="str">
        <f aca="false">IF(M147&gt;=0.13,"★★★ EXCELLENT",IF(M147&gt;=0.12,"★★  GOOD",IF(M147&gt;=0.07,"★  FAIR",IF(M147&gt;=0.025,"⚠  MARGINAL","✗  AVOID"))))</f>
        <v>⚠  MARGINAL</v>
      </c>
    </row>
    <row r="148" customFormat="false" ht="15" hidden="false" customHeight="true" outlineLevel="0" collapsed="false">
      <c r="A148" s="247" t="n">
        <v>19.1</v>
      </c>
      <c r="B148" s="248"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48"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48"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48"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48"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48"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48"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48"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48"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48"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48"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48" t="n">
        <f aca="false">MIN(B148:L148)</f>
        <v>0.0215438596491228</v>
      </c>
      <c r="N148" s="248" t="n">
        <f aca="false">SUMPRODUCT(($M$7:$M$557&gt;M148)*1)+SUMPRODUCT(($M$7:$M$557=M148)*(ROW($M$7:$M$557)&lt;ROW(M148)))+1</f>
        <v>318</v>
      </c>
      <c r="O148" s="248" t="str">
        <f aca="false">IF(M148&gt;=0.13,"★★★ EXCELLENT",IF(M148&gt;=0.12,"★★  GOOD",IF(M148&gt;=0.07,"★  FAIR",IF(M148&gt;=0.025,"⚠  MARGINAL","✗  AVOID"))))</f>
        <v>✗  AVOID</v>
      </c>
    </row>
    <row r="149" customFormat="false" ht="15" hidden="false" customHeight="true" outlineLevel="0" collapsed="false">
      <c r="A149" s="245" t="n">
        <v>19.2</v>
      </c>
      <c r="B149" s="246"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46"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46"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46"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46"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46"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46"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46"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46"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46"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46"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46" t="n">
        <f aca="false">MIN(B149:L149)</f>
        <v>0.016421052631579</v>
      </c>
      <c r="N149" s="246" t="n">
        <f aca="false">SUMPRODUCT(($M$7:$M$557&gt;M149)*1)+SUMPRODUCT(($M$7:$M$557=M149)*(ROW($M$7:$M$557)&lt;ROW(M149)))+1</f>
        <v>333</v>
      </c>
      <c r="O149" s="246" t="str">
        <f aca="false">IF(M149&gt;=0.13,"★★★ EXCELLENT",IF(M149&gt;=0.12,"★★  GOOD",IF(M149&gt;=0.07,"★  FAIR",IF(M149&gt;=0.025,"⚠  MARGINAL","✗  AVOID"))))</f>
        <v>✗  AVOID</v>
      </c>
    </row>
    <row r="150" customFormat="false" ht="15" hidden="false" customHeight="true" outlineLevel="0" collapsed="false">
      <c r="A150" s="247" t="n">
        <v>19.3</v>
      </c>
      <c r="B150" s="248"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48"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48"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48"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48"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48"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48"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48"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48"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48"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48"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48" t="n">
        <f aca="false">MIN(B150:L150)</f>
        <v>0.011298245614035</v>
      </c>
      <c r="N150" s="248" t="n">
        <f aca="false">SUMPRODUCT(($M$7:$M$557&gt;M150)*1)+SUMPRODUCT(($M$7:$M$557=M150)*(ROW($M$7:$M$557)&lt;ROW(M150)))+1</f>
        <v>349</v>
      </c>
      <c r="O150" s="248" t="str">
        <f aca="false">IF(M150&gt;=0.13,"★★★ EXCELLENT",IF(M150&gt;=0.12,"★★  GOOD",IF(M150&gt;=0.07,"★  FAIR",IF(M150&gt;=0.025,"⚠  MARGINAL","✗  AVOID"))))</f>
        <v>✗  AVOID</v>
      </c>
    </row>
    <row r="151" customFormat="false" ht="15" hidden="false" customHeight="true" outlineLevel="0" collapsed="false">
      <c r="A151" s="245" t="n">
        <v>19.4</v>
      </c>
      <c r="B151" s="246"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46"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46"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46"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46"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46"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46"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46"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46"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46"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46"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46" t="n">
        <f aca="false">MIN(B151:L151)</f>
        <v>0.00617543859649139</v>
      </c>
      <c r="N151" s="246" t="n">
        <f aca="false">SUMPRODUCT(($M$7:$M$557&gt;M151)*1)+SUMPRODUCT(($M$7:$M$557=M151)*(ROW($M$7:$M$557)&lt;ROW(M151)))+1</f>
        <v>363</v>
      </c>
      <c r="O151" s="246" t="str">
        <f aca="false">IF(M151&gt;=0.13,"★★★ EXCELLENT",IF(M151&gt;=0.12,"★★  GOOD",IF(M151&gt;=0.07,"★  FAIR",IF(M151&gt;=0.025,"⚠  MARGINAL","✗  AVOID"))))</f>
        <v>✗  AVOID</v>
      </c>
    </row>
    <row r="152" customFormat="false" ht="15" hidden="false" customHeight="true" outlineLevel="0" collapsed="false">
      <c r="A152" s="247" t="n">
        <v>19.5</v>
      </c>
      <c r="B152" s="248"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48"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48"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48"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48"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48"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48"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48"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48"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48"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48"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48" t="n">
        <f aca="false">MIN(B152:L152)</f>
        <v>0.00105263157894742</v>
      </c>
      <c r="N152" s="248" t="n">
        <f aca="false">SUMPRODUCT(($M$7:$M$557&gt;M152)*1)+SUMPRODUCT(($M$7:$M$557=M152)*(ROW($M$7:$M$557)&lt;ROW(M152)))+1</f>
        <v>379</v>
      </c>
      <c r="O152" s="248" t="str">
        <f aca="false">IF(M152&gt;=0.13,"★★★ EXCELLENT",IF(M152&gt;=0.12,"★★  GOOD",IF(M152&gt;=0.07,"★  FAIR",IF(M152&gt;=0.025,"⚠  MARGINAL","✗  AVOID"))))</f>
        <v>✗  AVOID</v>
      </c>
    </row>
    <row r="153" customFormat="false" ht="15" hidden="false" customHeight="true" outlineLevel="0" collapsed="false">
      <c r="A153" s="245" t="n">
        <v>19.6</v>
      </c>
      <c r="B153" s="246"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46"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46"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46"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46"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46"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46"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46"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46"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46"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46"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46" t="n">
        <f aca="false">MIN(B153:L153)</f>
        <v>0</v>
      </c>
      <c r="N153" s="246" t="n">
        <f aca="false">SUMPRODUCT(($M$7:$M$557&gt;M153)*1)+SUMPRODUCT(($M$7:$M$557=M153)*(ROW($M$7:$M$557)&lt;ROW(M153)))+1</f>
        <v>439</v>
      </c>
      <c r="O153" s="246" t="str">
        <f aca="false">IF(M153&gt;=0.13,"★★★ EXCELLENT",IF(M153&gt;=0.12,"★★  GOOD",IF(M153&gt;=0.07,"★  FAIR",IF(M153&gt;=0.025,"⚠  MARGINAL","✗  AVOID"))))</f>
        <v>✗  AVOID</v>
      </c>
    </row>
    <row r="154" customFormat="false" ht="15" hidden="false" customHeight="true" outlineLevel="0" collapsed="false">
      <c r="A154" s="247" t="n">
        <v>19.7</v>
      </c>
      <c r="B154" s="248"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48"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48"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48"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48"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48"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48"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48"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48"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48"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48"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48" t="n">
        <f aca="false">MIN(B154:L154)</f>
        <v>0</v>
      </c>
      <c r="N154" s="248" t="n">
        <f aca="false">SUMPRODUCT(($M$7:$M$557&gt;M154)*1)+SUMPRODUCT(($M$7:$M$557=M154)*(ROW($M$7:$M$557)&lt;ROW(M154)))+1</f>
        <v>440</v>
      </c>
      <c r="O154" s="248" t="str">
        <f aca="false">IF(M154&gt;=0.13,"★★★ EXCELLENT",IF(M154&gt;=0.12,"★★  GOOD",IF(M154&gt;=0.07,"★  FAIR",IF(M154&gt;=0.025,"⚠  MARGINAL","✗  AVOID"))))</f>
        <v>✗  AVOID</v>
      </c>
    </row>
    <row r="155" customFormat="false" ht="15" hidden="false" customHeight="true" outlineLevel="0" collapsed="false">
      <c r="A155" s="245" t="n">
        <v>19.8</v>
      </c>
      <c r="B155" s="246"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46"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46"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46"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46"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46"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46"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46"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46"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46"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46"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46" t="n">
        <f aca="false">MIN(B155:L155)</f>
        <v>0</v>
      </c>
      <c r="N155" s="246" t="n">
        <f aca="false">SUMPRODUCT(($M$7:$M$557&gt;M155)*1)+SUMPRODUCT(($M$7:$M$557=M155)*(ROW($M$7:$M$557)&lt;ROW(M155)))+1</f>
        <v>441</v>
      </c>
      <c r="O155" s="246" t="str">
        <f aca="false">IF(M155&gt;=0.13,"★★★ EXCELLENT",IF(M155&gt;=0.12,"★★  GOOD",IF(M155&gt;=0.07,"★  FAIR",IF(M155&gt;=0.025,"⚠  MARGINAL","✗  AVOID"))))</f>
        <v>✗  AVOID</v>
      </c>
    </row>
    <row r="156" customFormat="false" ht="15" hidden="false" customHeight="true" outlineLevel="0" collapsed="false">
      <c r="A156" s="247" t="n">
        <v>19.9</v>
      </c>
      <c r="B156" s="248"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48"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48"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48"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48"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48"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48"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48"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48"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48"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48"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48" t="n">
        <f aca="false">MIN(B156:L156)</f>
        <v>0</v>
      </c>
      <c r="N156" s="248" t="n">
        <f aca="false">SUMPRODUCT(($M$7:$M$557&gt;M156)*1)+SUMPRODUCT(($M$7:$M$557=M156)*(ROW($M$7:$M$557)&lt;ROW(M156)))+1</f>
        <v>442</v>
      </c>
      <c r="O156" s="248" t="str">
        <f aca="false">IF(M156&gt;=0.13,"★★★ EXCELLENT",IF(M156&gt;=0.12,"★★  GOOD",IF(M156&gt;=0.07,"★  FAIR",IF(M156&gt;=0.025,"⚠  MARGINAL","✗  AVOID"))))</f>
        <v>✗  AVOID</v>
      </c>
    </row>
    <row r="157" customFormat="false" ht="15" hidden="false" customHeight="true" outlineLevel="0" collapsed="false">
      <c r="A157" s="245" t="n">
        <v>20</v>
      </c>
      <c r="B157" s="246"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46"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46"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46"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46"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46"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46"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46"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46"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46"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46"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46" t="n">
        <f aca="false">MIN(B157:L157)</f>
        <v>0</v>
      </c>
      <c r="N157" s="246" t="n">
        <f aca="false">SUMPRODUCT(($M$7:$M$557&gt;M157)*1)+SUMPRODUCT(($M$7:$M$557=M157)*(ROW($M$7:$M$557)&lt;ROW(M157)))+1</f>
        <v>443</v>
      </c>
      <c r="O157" s="246" t="str">
        <f aca="false">IF(M157&gt;=0.13,"★★★ EXCELLENT",IF(M157&gt;=0.12,"★★  GOOD",IF(M157&gt;=0.07,"★  FAIR",IF(M157&gt;=0.025,"⚠  MARGINAL","✗  AVOID"))))</f>
        <v>✗  AVOID</v>
      </c>
    </row>
    <row r="158" customFormat="false" ht="15" hidden="false" customHeight="true" outlineLevel="0" collapsed="false">
      <c r="A158" s="247" t="n">
        <v>20.1</v>
      </c>
      <c r="B158" s="248"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48"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48"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48"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48"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48"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48"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48"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48"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48"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48"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48" t="n">
        <f aca="false">MIN(B158:L158)</f>
        <v>0</v>
      </c>
      <c r="N158" s="248" t="n">
        <f aca="false">SUMPRODUCT(($M$7:$M$557&gt;M158)*1)+SUMPRODUCT(($M$7:$M$557=M158)*(ROW($M$7:$M$557)&lt;ROW(M158)))+1</f>
        <v>444</v>
      </c>
      <c r="O158" s="248" t="str">
        <f aca="false">IF(M158&gt;=0.13,"★★★ EXCELLENT",IF(M158&gt;=0.12,"★★  GOOD",IF(M158&gt;=0.07,"★  FAIR",IF(M158&gt;=0.025,"⚠  MARGINAL","✗  AVOID"))))</f>
        <v>✗  AVOID</v>
      </c>
    </row>
    <row r="159" customFormat="false" ht="15" hidden="false" customHeight="true" outlineLevel="0" collapsed="false">
      <c r="A159" s="245" t="n">
        <v>20.2</v>
      </c>
      <c r="B159" s="246"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46"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46"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46"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46"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46"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46"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46"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46"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46"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46"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46" t="n">
        <f aca="false">MIN(B159:L159)</f>
        <v>0</v>
      </c>
      <c r="N159" s="246" t="n">
        <f aca="false">SUMPRODUCT(($M$7:$M$557&gt;M159)*1)+SUMPRODUCT(($M$7:$M$557=M159)*(ROW($M$7:$M$557)&lt;ROW(M159)))+1</f>
        <v>445</v>
      </c>
      <c r="O159" s="246" t="str">
        <f aca="false">IF(M159&gt;=0.13,"★★★ EXCELLENT",IF(M159&gt;=0.12,"★★  GOOD",IF(M159&gt;=0.07,"★  FAIR",IF(M159&gt;=0.025,"⚠  MARGINAL","✗  AVOID"))))</f>
        <v>✗  AVOID</v>
      </c>
    </row>
    <row r="160" customFormat="false" ht="15" hidden="false" customHeight="true" outlineLevel="0" collapsed="false">
      <c r="A160" s="247" t="n">
        <v>20.3</v>
      </c>
      <c r="B160" s="248"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48"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48"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48"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48"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48"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48"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48"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48"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48"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48"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48" t="n">
        <f aca="false">MIN(B160:L160)</f>
        <v>0</v>
      </c>
      <c r="N160" s="248" t="n">
        <f aca="false">SUMPRODUCT(($M$7:$M$557&gt;M160)*1)+SUMPRODUCT(($M$7:$M$557=M160)*(ROW($M$7:$M$557)&lt;ROW(M160)))+1</f>
        <v>446</v>
      </c>
      <c r="O160" s="248" t="str">
        <f aca="false">IF(M160&gt;=0.13,"★★★ EXCELLENT",IF(M160&gt;=0.12,"★★  GOOD",IF(M160&gt;=0.07,"★  FAIR",IF(M160&gt;=0.025,"⚠  MARGINAL","✗  AVOID"))))</f>
        <v>✗  AVOID</v>
      </c>
    </row>
    <row r="161" customFormat="false" ht="15" hidden="false" customHeight="true" outlineLevel="0" collapsed="false">
      <c r="A161" s="245" t="n">
        <v>20.4</v>
      </c>
      <c r="B161" s="246"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46"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46"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46"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46"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46"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46"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46"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46"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46"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46"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46" t="n">
        <f aca="false">MIN(B161:L161)</f>
        <v>0.00210526315789461</v>
      </c>
      <c r="N161" s="246" t="n">
        <f aca="false">SUMPRODUCT(($M$7:$M$557&gt;M161)*1)+SUMPRODUCT(($M$7:$M$557=M161)*(ROW($M$7:$M$557)&lt;ROW(M161)))+1</f>
        <v>376</v>
      </c>
      <c r="O161" s="246" t="str">
        <f aca="false">IF(M161&gt;=0.13,"★★★ EXCELLENT",IF(M161&gt;=0.12,"★★  GOOD",IF(M161&gt;=0.07,"★  FAIR",IF(M161&gt;=0.025,"⚠  MARGINAL","✗  AVOID"))))</f>
        <v>✗  AVOID</v>
      </c>
    </row>
    <row r="162" customFormat="false" ht="15" hidden="false" customHeight="true" outlineLevel="0" collapsed="false">
      <c r="A162" s="247" t="n">
        <v>20.5</v>
      </c>
      <c r="B162" s="248"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48"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48"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48"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48"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48"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48"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48"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48"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48"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48"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48" t="n">
        <f aca="false">MIN(B162:L162)</f>
        <v>0.00701754385964915</v>
      </c>
      <c r="N162" s="248" t="n">
        <f aca="false">SUMPRODUCT(($M$7:$M$557&gt;M162)*1)+SUMPRODUCT(($M$7:$M$557=M162)*(ROW($M$7:$M$557)&lt;ROW(M162)))+1</f>
        <v>362</v>
      </c>
      <c r="O162" s="248" t="str">
        <f aca="false">IF(M162&gt;=0.13,"★★★ EXCELLENT",IF(M162&gt;=0.12,"★★  GOOD",IF(M162&gt;=0.07,"★  FAIR",IF(M162&gt;=0.025,"⚠  MARGINAL","✗  AVOID"))))</f>
        <v>✗  AVOID</v>
      </c>
    </row>
    <row r="163" customFormat="false" ht="15" hidden="false" customHeight="true" outlineLevel="0" collapsed="false">
      <c r="A163" s="245" t="n">
        <v>20.6</v>
      </c>
      <c r="B163" s="246"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46"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46"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46"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46"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46"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46"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46"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46"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46"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46"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46" t="n">
        <f aca="false">MIN(B163:L163)</f>
        <v>0.0119298245614037</v>
      </c>
      <c r="N163" s="246" t="n">
        <f aca="false">SUMPRODUCT(($M$7:$M$557&gt;M163)*1)+SUMPRODUCT(($M$7:$M$557=M163)*(ROW($M$7:$M$557)&lt;ROW(M163)))+1</f>
        <v>346</v>
      </c>
      <c r="O163" s="246" t="str">
        <f aca="false">IF(M163&gt;=0.13,"★★★ EXCELLENT",IF(M163&gt;=0.12,"★★  GOOD",IF(M163&gt;=0.07,"★  FAIR",IF(M163&gt;=0.025,"⚠  MARGINAL","✗  AVOID"))))</f>
        <v>✗  AVOID</v>
      </c>
    </row>
    <row r="164" customFormat="false" ht="15" hidden="false" customHeight="true" outlineLevel="0" collapsed="false">
      <c r="A164" s="247" t="n">
        <v>20.7</v>
      </c>
      <c r="B164" s="248"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48"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48"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48"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48"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48"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48"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48"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48"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48"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48"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48" t="n">
        <f aca="false">MIN(B164:L164)</f>
        <v>0.016842105263158</v>
      </c>
      <c r="N164" s="248" t="n">
        <f aca="false">SUMPRODUCT(($M$7:$M$557&gt;M164)*1)+SUMPRODUCT(($M$7:$M$557=M164)*(ROW($M$7:$M$557)&lt;ROW(M164)))+1</f>
        <v>332</v>
      </c>
      <c r="O164" s="248" t="str">
        <f aca="false">IF(M164&gt;=0.13,"★★★ EXCELLENT",IF(M164&gt;=0.12,"★★  GOOD",IF(M164&gt;=0.07,"★  FAIR",IF(M164&gt;=0.025,"⚠  MARGINAL","✗  AVOID"))))</f>
        <v>✗  AVOID</v>
      </c>
    </row>
    <row r="165" customFormat="false" ht="15" hidden="false" customHeight="true" outlineLevel="0" collapsed="false">
      <c r="A165" s="245" t="n">
        <v>20.8</v>
      </c>
      <c r="B165" s="246"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46"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46"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46"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46"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46"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46"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46"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46"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46"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46"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46" t="n">
        <f aca="false">MIN(B165:L165)</f>
        <v>0.0217543859649123</v>
      </c>
      <c r="N165" s="246" t="n">
        <f aca="false">SUMPRODUCT(($M$7:$M$557&gt;M165)*1)+SUMPRODUCT(($M$7:$M$557=M165)*(ROW($M$7:$M$557)&lt;ROW(M165)))+1</f>
        <v>317</v>
      </c>
      <c r="O165" s="246" t="str">
        <f aca="false">IF(M165&gt;=0.13,"★★★ EXCELLENT",IF(M165&gt;=0.12,"★★  GOOD",IF(M165&gt;=0.07,"★  FAIR",IF(M165&gt;=0.025,"⚠  MARGINAL","✗  AVOID"))))</f>
        <v>✗  AVOID</v>
      </c>
    </row>
    <row r="166" customFormat="false" ht="15" hidden="false" customHeight="true" outlineLevel="0" collapsed="false">
      <c r="A166" s="247" t="n">
        <v>20.9</v>
      </c>
      <c r="B166" s="248"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48"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48"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48"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48"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48"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48"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48"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48"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48"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48"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48" t="n">
        <f aca="false">MIN(B166:L166)</f>
        <v>0.0266666666666666</v>
      </c>
      <c r="N166" s="248" t="n">
        <f aca="false">SUMPRODUCT(($M$7:$M$557&gt;M166)*1)+SUMPRODUCT(($M$7:$M$557=M166)*(ROW($M$7:$M$557)&lt;ROW(M166)))+1</f>
        <v>303</v>
      </c>
      <c r="O166" s="248" t="str">
        <f aca="false">IF(M166&gt;=0.13,"★★★ EXCELLENT",IF(M166&gt;=0.12,"★★  GOOD",IF(M166&gt;=0.07,"★  FAIR",IF(M166&gt;=0.025,"⚠  MARGINAL","✗  AVOID"))))</f>
        <v>⚠  MARGINAL</v>
      </c>
    </row>
    <row r="167" customFormat="false" ht="15" hidden="false" customHeight="true" outlineLevel="0" collapsed="false">
      <c r="A167" s="245" t="n">
        <v>21</v>
      </c>
      <c r="B167" s="246"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46"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46"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46"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46"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46"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46"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46"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46"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46"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46"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46" t="n">
        <f aca="false">MIN(B167:L167)</f>
        <v>0.0315789473684212</v>
      </c>
      <c r="N167" s="246" t="n">
        <f aca="false">SUMPRODUCT(($M$7:$M$557&gt;M167)*1)+SUMPRODUCT(($M$7:$M$557=M167)*(ROW($M$7:$M$557)&lt;ROW(M167)))+1</f>
        <v>288</v>
      </c>
      <c r="O167" s="246" t="str">
        <f aca="false">IF(M167&gt;=0.13,"★★★ EXCELLENT",IF(M167&gt;=0.12,"★★  GOOD",IF(M167&gt;=0.07,"★  FAIR",IF(M167&gt;=0.025,"⚠  MARGINAL","✗  AVOID"))))</f>
        <v>⚠  MARGINAL</v>
      </c>
    </row>
    <row r="168" customFormat="false" ht="15" hidden="false" customHeight="true" outlineLevel="0" collapsed="false">
      <c r="A168" s="247" t="n">
        <v>21.1</v>
      </c>
      <c r="B168" s="248"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48"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48"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48"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48"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48"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48"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48"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48"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48"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48"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48" t="n">
        <f aca="false">MIN(B168:L168)</f>
        <v>0.0364912280701755</v>
      </c>
      <c r="N168" s="248" t="n">
        <f aca="false">SUMPRODUCT(($M$7:$M$557&gt;M168)*1)+SUMPRODUCT(($M$7:$M$557=M168)*(ROW($M$7:$M$557)&lt;ROW(M168)))+1</f>
        <v>273</v>
      </c>
      <c r="O168" s="248" t="str">
        <f aca="false">IF(M168&gt;=0.13,"★★★ EXCELLENT",IF(M168&gt;=0.12,"★★  GOOD",IF(M168&gt;=0.07,"★  FAIR",IF(M168&gt;=0.025,"⚠  MARGINAL","✗  AVOID"))))</f>
        <v>⚠  MARGINAL</v>
      </c>
    </row>
    <row r="169" customFormat="false" ht="15" hidden="false" customHeight="true" outlineLevel="0" collapsed="false">
      <c r="A169" s="245" t="n">
        <v>21.2</v>
      </c>
      <c r="B169" s="246"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46"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46"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46"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46"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46"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46"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46"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46"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46"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46"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46" t="n">
        <f aca="false">MIN(B169:L169)</f>
        <v>0.0414035087719298</v>
      </c>
      <c r="N169" s="246" t="n">
        <f aca="false">SUMPRODUCT(($M$7:$M$557&gt;M169)*1)+SUMPRODUCT(($M$7:$M$557=M169)*(ROW($M$7:$M$557)&lt;ROW(M169)))+1</f>
        <v>258</v>
      </c>
      <c r="O169" s="246" t="str">
        <f aca="false">IF(M169&gt;=0.13,"★★★ EXCELLENT",IF(M169&gt;=0.12,"★★  GOOD",IF(M169&gt;=0.07,"★  FAIR",IF(M169&gt;=0.025,"⚠  MARGINAL","✗  AVOID"))))</f>
        <v>⚠  MARGINAL</v>
      </c>
    </row>
    <row r="170" customFormat="false" ht="15" hidden="false" customHeight="true" outlineLevel="0" collapsed="false">
      <c r="A170" s="247" t="n">
        <v>21.3</v>
      </c>
      <c r="B170" s="248"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48"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48"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48"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48"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48"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48"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48"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48"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48"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48"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48" t="n">
        <f aca="false">MIN(B170:L170)</f>
        <v>0.0463157894736841</v>
      </c>
      <c r="N170" s="248" t="n">
        <f aca="false">SUMPRODUCT(($M$7:$M$557&gt;M170)*1)+SUMPRODUCT(($M$7:$M$557=M170)*(ROW($M$7:$M$557)&lt;ROW(M170)))+1</f>
        <v>243</v>
      </c>
      <c r="O170" s="248" t="str">
        <f aca="false">IF(M170&gt;=0.13,"★★★ EXCELLENT",IF(M170&gt;=0.12,"★★  GOOD",IF(M170&gt;=0.07,"★  FAIR",IF(M170&gt;=0.025,"⚠  MARGINAL","✗  AVOID"))))</f>
        <v>⚠  MARGINAL</v>
      </c>
    </row>
    <row r="171" customFormat="false" ht="15" hidden="false" customHeight="true" outlineLevel="0" collapsed="false">
      <c r="A171" s="245" t="n">
        <v>21.4</v>
      </c>
      <c r="B171" s="246"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46"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46"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46"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46"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46"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46"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46"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46"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46"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46"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46" t="n">
        <f aca="false">MIN(B171:L171)</f>
        <v>0.0512280701754384</v>
      </c>
      <c r="N171" s="246" t="n">
        <f aca="false">SUMPRODUCT(($M$7:$M$557&gt;M171)*1)+SUMPRODUCT(($M$7:$M$557=M171)*(ROW($M$7:$M$557)&lt;ROW(M171)))+1</f>
        <v>229</v>
      </c>
      <c r="O171" s="246" t="str">
        <f aca="false">IF(M171&gt;=0.13,"★★★ EXCELLENT",IF(M171&gt;=0.12,"★★  GOOD",IF(M171&gt;=0.07,"★  FAIR",IF(M171&gt;=0.025,"⚠  MARGINAL","✗  AVOID"))))</f>
        <v>⚠  MARGINAL</v>
      </c>
    </row>
    <row r="172" customFormat="false" ht="15" hidden="false" customHeight="true" outlineLevel="0" collapsed="false">
      <c r="A172" s="247" t="n">
        <v>21.5</v>
      </c>
      <c r="B172" s="248"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48"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48"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48"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48"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48"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48"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48"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48"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48"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48"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48" t="n">
        <f aca="false">MIN(B172:L172)</f>
        <v>0.0561403508771929</v>
      </c>
      <c r="N172" s="248" t="n">
        <f aca="false">SUMPRODUCT(($M$7:$M$557&gt;M172)*1)+SUMPRODUCT(($M$7:$M$557=M172)*(ROW($M$7:$M$557)&lt;ROW(M172)))+1</f>
        <v>214</v>
      </c>
      <c r="O172" s="248" t="str">
        <f aca="false">IF(M172&gt;=0.13,"★★★ EXCELLENT",IF(M172&gt;=0.12,"★★  GOOD",IF(M172&gt;=0.07,"★  FAIR",IF(M172&gt;=0.025,"⚠  MARGINAL","✗  AVOID"))))</f>
        <v>⚠  MARGINAL</v>
      </c>
    </row>
    <row r="173" customFormat="false" ht="15" hidden="false" customHeight="true" outlineLevel="0" collapsed="false">
      <c r="A173" s="245" t="n">
        <v>21.6</v>
      </c>
      <c r="B173" s="246"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46"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46"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46"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46"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46"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46"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46"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46"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46"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46"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46" t="n">
        <f aca="false">MIN(B173:L173)</f>
        <v>0.0610526315789475</v>
      </c>
      <c r="N173" s="246" t="n">
        <f aca="false">SUMPRODUCT(($M$7:$M$557&gt;M173)*1)+SUMPRODUCT(($M$7:$M$557=M173)*(ROW($M$7:$M$557)&lt;ROW(M173)))+1</f>
        <v>199</v>
      </c>
      <c r="O173" s="246" t="str">
        <f aca="false">IF(M173&gt;=0.13,"★★★ EXCELLENT",IF(M173&gt;=0.12,"★★  GOOD",IF(M173&gt;=0.07,"★  FAIR",IF(M173&gt;=0.025,"⚠  MARGINAL","✗  AVOID"))))</f>
        <v>⚠  MARGINAL</v>
      </c>
    </row>
    <row r="174" customFormat="false" ht="15" hidden="false" customHeight="true" outlineLevel="0" collapsed="false">
      <c r="A174" s="247" t="n">
        <v>21.7</v>
      </c>
      <c r="B174" s="248"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48"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48"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48"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48"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48"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48"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48"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48"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48"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48"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48" t="n">
        <f aca="false">MIN(B174:L174)</f>
        <v>0.0659649122807018</v>
      </c>
      <c r="N174" s="248" t="n">
        <f aca="false">SUMPRODUCT(($M$7:$M$557&gt;M174)*1)+SUMPRODUCT(($M$7:$M$557=M174)*(ROW($M$7:$M$557)&lt;ROW(M174)))+1</f>
        <v>185</v>
      </c>
      <c r="O174" s="248" t="str">
        <f aca="false">IF(M174&gt;=0.13,"★★★ EXCELLENT",IF(M174&gt;=0.12,"★★  GOOD",IF(M174&gt;=0.07,"★  FAIR",IF(M174&gt;=0.025,"⚠  MARGINAL","✗  AVOID"))))</f>
        <v>⚠  MARGINAL</v>
      </c>
    </row>
    <row r="175" customFormat="false" ht="15" hidden="false" customHeight="true" outlineLevel="0" collapsed="false">
      <c r="A175" s="245" t="n">
        <v>21.8</v>
      </c>
      <c r="B175" s="246"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46"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46"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46"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46"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46"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46"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46"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46"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46"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46"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46" t="n">
        <f aca="false">MIN(B175:L175)</f>
        <v>0.0708771929824561</v>
      </c>
      <c r="N175" s="246" t="n">
        <f aca="false">SUMPRODUCT(($M$7:$M$557&gt;M175)*1)+SUMPRODUCT(($M$7:$M$557=M175)*(ROW($M$7:$M$557)&lt;ROW(M175)))+1</f>
        <v>169</v>
      </c>
      <c r="O175" s="246" t="str">
        <f aca="false">IF(M175&gt;=0.13,"★★★ EXCELLENT",IF(M175&gt;=0.12,"★★  GOOD",IF(M175&gt;=0.07,"★  FAIR",IF(M175&gt;=0.025,"⚠  MARGINAL","✗  AVOID"))))</f>
        <v>★  FAIR</v>
      </c>
    </row>
    <row r="176" customFormat="false" ht="15" hidden="false" customHeight="true" outlineLevel="0" collapsed="false">
      <c r="A176" s="247" t="n">
        <v>21.9</v>
      </c>
      <c r="B176" s="248"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48"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48"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48"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48"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48"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48"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48"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48"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48"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48"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48" t="n">
        <f aca="false">MIN(B176:L176)</f>
        <v>0.0757894736842104</v>
      </c>
      <c r="N176" s="248" t="n">
        <f aca="false">SUMPRODUCT(($M$7:$M$557&gt;M176)*1)+SUMPRODUCT(($M$7:$M$557=M176)*(ROW($M$7:$M$557)&lt;ROW(M176)))+1</f>
        <v>156</v>
      </c>
      <c r="O176" s="248" t="str">
        <f aca="false">IF(M176&gt;=0.13,"★★★ EXCELLENT",IF(M176&gt;=0.12,"★★  GOOD",IF(M176&gt;=0.07,"★  FAIR",IF(M176&gt;=0.025,"⚠  MARGINAL","✗  AVOID"))))</f>
        <v>★  FAIR</v>
      </c>
    </row>
    <row r="177" customFormat="false" ht="15" hidden="false" customHeight="true" outlineLevel="0" collapsed="false">
      <c r="A177" s="245" t="n">
        <v>22</v>
      </c>
      <c r="B177" s="246"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46"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46"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46"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46"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46"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46"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46"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46"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46"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46"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46" t="n">
        <f aca="false">MIN(B177:L177)</f>
        <v>0.0807017543859649</v>
      </c>
      <c r="N177" s="246" t="n">
        <f aca="false">SUMPRODUCT(($M$7:$M$557&gt;M177)*1)+SUMPRODUCT(($M$7:$M$557=M177)*(ROW($M$7:$M$557)&lt;ROW(M177)))+1</f>
        <v>140</v>
      </c>
      <c r="O177" s="246" t="str">
        <f aca="false">IF(M177&gt;=0.13,"★★★ EXCELLENT",IF(M177&gt;=0.12,"★★  GOOD",IF(M177&gt;=0.07,"★  FAIR",IF(M177&gt;=0.025,"⚠  MARGINAL","✗  AVOID"))))</f>
        <v>★  FAIR</v>
      </c>
    </row>
    <row r="178" customFormat="false" ht="15" hidden="false" customHeight="true" outlineLevel="0" collapsed="false">
      <c r="A178" s="247" t="n">
        <v>22.1</v>
      </c>
      <c r="B178" s="248"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48"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48"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48"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48"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48"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48"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48"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48"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48"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48"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48" t="n">
        <f aca="false">MIN(B178:L178)</f>
        <v>0.0856140350877195</v>
      </c>
      <c r="N178" s="248" t="n">
        <f aca="false">SUMPRODUCT(($M$7:$M$557&gt;M178)*1)+SUMPRODUCT(($M$7:$M$557=M178)*(ROW($M$7:$M$557)&lt;ROW(M178)))+1</f>
        <v>126</v>
      </c>
      <c r="O178" s="248" t="str">
        <f aca="false">IF(M178&gt;=0.13,"★★★ EXCELLENT",IF(M178&gt;=0.12,"★★  GOOD",IF(M178&gt;=0.07,"★  FAIR",IF(M178&gt;=0.025,"⚠  MARGINAL","✗  AVOID"))))</f>
        <v>★  FAIR</v>
      </c>
    </row>
    <row r="179" customFormat="false" ht="15" hidden="false" customHeight="true" outlineLevel="0" collapsed="false">
      <c r="A179" s="245" t="n">
        <v>22.2</v>
      </c>
      <c r="B179" s="246"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46"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46"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46"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46"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46"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46"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46"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46"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46"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46"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46" t="n">
        <f aca="false">MIN(B179:L179)</f>
        <v>0.0905263157894738</v>
      </c>
      <c r="N179" s="246" t="n">
        <f aca="false">SUMPRODUCT(($M$7:$M$557&gt;M179)*1)+SUMPRODUCT(($M$7:$M$557=M179)*(ROW($M$7:$M$557)&lt;ROW(M179)))+1</f>
        <v>112</v>
      </c>
      <c r="O179" s="246" t="str">
        <f aca="false">IF(M179&gt;=0.13,"★★★ EXCELLENT",IF(M179&gt;=0.12,"★★  GOOD",IF(M179&gt;=0.07,"★  FAIR",IF(M179&gt;=0.025,"⚠  MARGINAL","✗  AVOID"))))</f>
        <v>★  FAIR</v>
      </c>
    </row>
    <row r="180" customFormat="false" ht="15" hidden="false" customHeight="true" outlineLevel="0" collapsed="false">
      <c r="A180" s="247" t="n">
        <v>22.3</v>
      </c>
      <c r="B180" s="248"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48"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48"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48"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48"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48"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48"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48"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48"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48"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48"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48" t="n">
        <f aca="false">MIN(B180:L180)</f>
        <v>0.0954385964912281</v>
      </c>
      <c r="N180" s="248" t="n">
        <f aca="false">SUMPRODUCT(($M$7:$M$557&gt;M180)*1)+SUMPRODUCT(($M$7:$M$557=M180)*(ROW($M$7:$M$557)&lt;ROW(M180)))+1</f>
        <v>99</v>
      </c>
      <c r="O180" s="248" t="str">
        <f aca="false">IF(M180&gt;=0.13,"★★★ EXCELLENT",IF(M180&gt;=0.12,"★★  GOOD",IF(M180&gt;=0.07,"★  FAIR",IF(M180&gt;=0.025,"⚠  MARGINAL","✗  AVOID"))))</f>
        <v>★  FAIR</v>
      </c>
    </row>
    <row r="181" customFormat="false" ht="15" hidden="false" customHeight="true" outlineLevel="0" collapsed="false">
      <c r="A181" s="245" t="n">
        <v>22.4</v>
      </c>
      <c r="B181" s="246"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46"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46"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46"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46"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46"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46"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46"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46"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46"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46"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46" t="n">
        <f aca="false">MIN(B181:L181)</f>
        <v>0.100350877192982</v>
      </c>
      <c r="N181" s="246" t="n">
        <f aca="false">SUMPRODUCT(($M$7:$M$557&gt;M181)*1)+SUMPRODUCT(($M$7:$M$557=M181)*(ROW($M$7:$M$557)&lt;ROW(M181)))+1</f>
        <v>85</v>
      </c>
      <c r="O181" s="246" t="str">
        <f aca="false">IF(M181&gt;=0.13,"★★★ EXCELLENT",IF(M181&gt;=0.12,"★★  GOOD",IF(M181&gt;=0.07,"★  FAIR",IF(M181&gt;=0.025,"⚠  MARGINAL","✗  AVOID"))))</f>
        <v>★  FAIR</v>
      </c>
    </row>
    <row r="182" customFormat="false" ht="15" hidden="false" customHeight="true" outlineLevel="0" collapsed="false">
      <c r="A182" s="247" t="n">
        <v>22.5</v>
      </c>
      <c r="B182" s="248"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48"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48"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48"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48"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48"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48"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48"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48"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48"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48"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48" t="n">
        <f aca="false">MIN(B182:L182)</f>
        <v>0.105263157894737</v>
      </c>
      <c r="N182" s="248" t="n">
        <f aca="false">SUMPRODUCT(($M$7:$M$557&gt;M182)*1)+SUMPRODUCT(($M$7:$M$557=M182)*(ROW($M$7:$M$557)&lt;ROW(M182)))+1</f>
        <v>73</v>
      </c>
      <c r="O182" s="248" t="str">
        <f aca="false">IF(M182&gt;=0.13,"★★★ EXCELLENT",IF(M182&gt;=0.12,"★★  GOOD",IF(M182&gt;=0.07,"★  FAIR",IF(M182&gt;=0.025,"⚠  MARGINAL","✗  AVOID"))))</f>
        <v>★  FAIR</v>
      </c>
    </row>
    <row r="183" customFormat="false" ht="15" hidden="false" customHeight="true" outlineLevel="0" collapsed="false">
      <c r="A183" s="245" t="n">
        <v>22.6</v>
      </c>
      <c r="B183" s="246"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46"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46"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46"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46"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46"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46"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46"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46"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46"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46"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46" t="n">
        <f aca="false">MIN(B183:L183)</f>
        <v>0.110175438596491</v>
      </c>
      <c r="N183" s="246" t="n">
        <f aca="false">SUMPRODUCT(($M$7:$M$557&gt;M183)*1)+SUMPRODUCT(($M$7:$M$557=M183)*(ROW($M$7:$M$557)&lt;ROW(M183)))+1</f>
        <v>62</v>
      </c>
      <c r="O183" s="246" t="str">
        <f aca="false">IF(M183&gt;=0.13,"★★★ EXCELLENT",IF(M183&gt;=0.12,"★★  GOOD",IF(M183&gt;=0.07,"★  FAIR",IF(M183&gt;=0.025,"⚠  MARGINAL","✗  AVOID"))))</f>
        <v>★  FAIR</v>
      </c>
    </row>
    <row r="184" customFormat="false" ht="15" hidden="false" customHeight="true" outlineLevel="0" collapsed="false">
      <c r="A184" s="247" t="n">
        <v>22.7</v>
      </c>
      <c r="B184" s="248"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48"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48"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48"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48"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48"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48"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48"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48"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48"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48"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48" t="n">
        <f aca="false">MIN(B184:L184)</f>
        <v>0.115087719298246</v>
      </c>
      <c r="N184" s="248" t="n">
        <f aca="false">SUMPRODUCT(($M$7:$M$557&gt;M184)*1)+SUMPRODUCT(($M$7:$M$557=M184)*(ROW($M$7:$M$557)&lt;ROW(M184)))+1</f>
        <v>49</v>
      </c>
      <c r="O184" s="248" t="str">
        <f aca="false">IF(M184&gt;=0.13,"★★★ EXCELLENT",IF(M184&gt;=0.12,"★★  GOOD",IF(M184&gt;=0.07,"★  FAIR",IF(M184&gt;=0.025,"⚠  MARGINAL","✗  AVOID"))))</f>
        <v>★  FAIR</v>
      </c>
    </row>
    <row r="185" customFormat="false" ht="15" hidden="false" customHeight="true" outlineLevel="0" collapsed="false">
      <c r="A185" s="245" t="n">
        <v>22.8</v>
      </c>
      <c r="B185" s="246"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46"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46"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46"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46"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46"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46"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46"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46"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46"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46"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46" t="n">
        <f aca="false">MIN(B185:L185)</f>
        <v>0.12</v>
      </c>
      <c r="N185" s="246" t="n">
        <f aca="false">SUMPRODUCT(($M$7:$M$557&gt;M185)*1)+SUMPRODUCT(($M$7:$M$557=M185)*(ROW($M$7:$M$557)&lt;ROW(M185)))+1</f>
        <v>40</v>
      </c>
      <c r="O185" s="246" t="str">
        <f aca="false">IF(M185&gt;=0.13,"★★★ EXCELLENT",IF(M185&gt;=0.12,"★★  GOOD",IF(M185&gt;=0.07,"★  FAIR",IF(M185&gt;=0.025,"⚠  MARGINAL","✗  AVOID"))))</f>
        <v>★★  GOOD</v>
      </c>
    </row>
    <row r="186" customFormat="false" ht="15" hidden="false" customHeight="true" outlineLevel="0" collapsed="false">
      <c r="A186" s="247" t="n">
        <v>22.9</v>
      </c>
      <c r="B186" s="248"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48"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48"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48"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48"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48"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48"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48"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48"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48"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48"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48" t="n">
        <f aca="false">MIN(B186:L186)</f>
        <v>0.124912280701754</v>
      </c>
      <c r="N186" s="248" t="n">
        <f aca="false">SUMPRODUCT(($M$7:$M$557&gt;M186)*1)+SUMPRODUCT(($M$7:$M$557=M186)*(ROW($M$7:$M$557)&lt;ROW(M186)))+1</f>
        <v>29</v>
      </c>
      <c r="O186" s="248" t="str">
        <f aca="false">IF(M186&gt;=0.13,"★★★ EXCELLENT",IF(M186&gt;=0.12,"★★  GOOD",IF(M186&gt;=0.07,"★  FAIR",IF(M186&gt;=0.025,"⚠  MARGINAL","✗  AVOID"))))</f>
        <v>★★  GOOD</v>
      </c>
    </row>
    <row r="187" customFormat="false" ht="15" hidden="false" customHeight="true" outlineLevel="0" collapsed="false">
      <c r="A187" s="245" t="n">
        <v>23</v>
      </c>
      <c r="B187" s="246"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46"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46"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46"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46"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46"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46"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46"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46"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46"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46"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46" t="n">
        <f aca="false">MIN(B187:L187)</f>
        <v>0.129824561403509</v>
      </c>
      <c r="N187" s="246" t="n">
        <f aca="false">SUMPRODUCT(($M$7:$M$557&gt;M187)*1)+SUMPRODUCT(($M$7:$M$557=M187)*(ROW($M$7:$M$557)&lt;ROW(M187)))+1</f>
        <v>21</v>
      </c>
      <c r="O187" s="246" t="str">
        <f aca="false">IF(M187&gt;=0.13,"★★★ EXCELLENT",IF(M187&gt;=0.12,"★★  GOOD",IF(M187&gt;=0.07,"★  FAIR",IF(M187&gt;=0.025,"⚠  MARGINAL","✗  AVOID"))))</f>
        <v>★★  GOOD</v>
      </c>
    </row>
    <row r="188" customFormat="false" ht="15" hidden="false" customHeight="true" outlineLevel="0" collapsed="false">
      <c r="A188" s="247" t="n">
        <v>23.1</v>
      </c>
      <c r="B188" s="248"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48"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48"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48"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48"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48"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48"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48"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48"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48"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48"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48" t="n">
        <f aca="false">MIN(B188:L188)</f>
        <v>0.134736842105263</v>
      </c>
      <c r="N188" s="248" t="n">
        <f aca="false">SUMPRODUCT(($M$7:$M$557&gt;M188)*1)+SUMPRODUCT(($M$7:$M$557=M188)*(ROW($M$7:$M$557)&lt;ROW(M188)))+1</f>
        <v>14</v>
      </c>
      <c r="O188" s="248" t="str">
        <f aca="false">IF(M188&gt;=0.13,"★★★ EXCELLENT",IF(M188&gt;=0.12,"★★  GOOD",IF(M188&gt;=0.07,"★  FAIR",IF(M188&gt;=0.025,"⚠  MARGINAL","✗  AVOID"))))</f>
        <v>★★★ EXCELLENT</v>
      </c>
    </row>
    <row r="189" customFormat="false" ht="15" hidden="false" customHeight="true" outlineLevel="0" collapsed="false">
      <c r="A189" s="245" t="n">
        <v>23.2</v>
      </c>
      <c r="B189" s="246"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46"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46"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46"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46"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46"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46"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46"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46"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46"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46"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46" t="n">
        <f aca="false">MIN(B189:L189)</f>
        <v>0.139649122807018</v>
      </c>
      <c r="N189" s="246" t="n">
        <f aca="false">SUMPRODUCT(($M$7:$M$557&gt;M189)*1)+SUMPRODUCT(($M$7:$M$557=M189)*(ROW($M$7:$M$557)&lt;ROW(M189)))+1</f>
        <v>9</v>
      </c>
      <c r="O189" s="246" t="str">
        <f aca="false">IF(M189&gt;=0.13,"★★★ EXCELLENT",IF(M189&gt;=0.12,"★★  GOOD",IF(M189&gt;=0.07,"★  FAIR",IF(M189&gt;=0.025,"⚠  MARGINAL","✗  AVOID"))))</f>
        <v>★★★ EXCELLENT</v>
      </c>
    </row>
    <row r="190" customFormat="false" ht="15" hidden="false" customHeight="true" outlineLevel="0" collapsed="false">
      <c r="A190" s="247" t="n">
        <v>23.3</v>
      </c>
      <c r="B190" s="248"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48"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48"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48"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48"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48"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48"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48"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48"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48"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48"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48" t="n">
        <f aca="false">MIN(B190:L190)</f>
        <v>0.144561403508772</v>
      </c>
      <c r="N190" s="248" t="n">
        <f aca="false">SUMPRODUCT(($M$7:$M$557&gt;M190)*1)+SUMPRODUCT(($M$7:$M$557=M190)*(ROW($M$7:$M$557)&lt;ROW(M190)))+1</f>
        <v>4</v>
      </c>
      <c r="O190" s="248" t="str">
        <f aca="false">IF(M190&gt;=0.13,"★★★ EXCELLENT",IF(M190&gt;=0.12,"★★  GOOD",IF(M190&gt;=0.07,"★  FAIR",IF(M190&gt;=0.025,"⚠  MARGINAL","✗  AVOID"))))</f>
        <v>★★★ EXCELLENT</v>
      </c>
    </row>
    <row r="191" customFormat="false" ht="15" hidden="false" customHeight="true" outlineLevel="0" collapsed="false">
      <c r="A191" s="245" t="n">
        <v>23.4</v>
      </c>
      <c r="B191" s="246"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46"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46"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46"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46"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46"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46"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46"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46"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46"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46"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46" t="n">
        <f aca="false">MIN(B191:L191)</f>
        <v>0.143578947368421</v>
      </c>
      <c r="N191" s="246" t="n">
        <f aca="false">SUMPRODUCT(($M$7:$M$557&gt;M191)*1)+SUMPRODUCT(($M$7:$M$557=M191)*(ROW($M$7:$M$557)&lt;ROW(M191)))+1</f>
        <v>5</v>
      </c>
      <c r="O191" s="246" t="str">
        <f aca="false">IF(M191&gt;=0.13,"★★★ EXCELLENT",IF(M191&gt;=0.12,"★★  GOOD",IF(M191&gt;=0.07,"★  FAIR",IF(M191&gt;=0.025,"⚠  MARGINAL","✗  AVOID"))))</f>
        <v>★★★ EXCELLENT</v>
      </c>
    </row>
    <row r="192" customFormat="false" ht="15" hidden="false" customHeight="true" outlineLevel="0" collapsed="false">
      <c r="A192" s="247" t="n">
        <v>23.5</v>
      </c>
      <c r="B192" s="248"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48"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48"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48"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48"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48"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48"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48"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48"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48"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48"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48" t="n">
        <f aca="false">MIN(B192:L192)</f>
        <v>0.133508771929825</v>
      </c>
      <c r="N192" s="248" t="n">
        <f aca="false">SUMPRODUCT(($M$7:$M$557&gt;M192)*1)+SUMPRODUCT(($M$7:$M$557=M192)*(ROW($M$7:$M$557)&lt;ROW(M192)))+1</f>
        <v>17</v>
      </c>
      <c r="O192" s="248" t="str">
        <f aca="false">IF(M192&gt;=0.13,"★★★ EXCELLENT",IF(M192&gt;=0.12,"★★  GOOD",IF(M192&gt;=0.07,"★  FAIR",IF(M192&gt;=0.025,"⚠  MARGINAL","✗  AVOID"))))</f>
        <v>★★★ EXCELLENT</v>
      </c>
    </row>
    <row r="193" customFormat="false" ht="15" hidden="false" customHeight="true" outlineLevel="0" collapsed="false">
      <c r="A193" s="245" t="n">
        <v>23.6</v>
      </c>
      <c r="B193" s="246"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46"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46"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46"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46"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46"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46"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46"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46"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46"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46"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46" t="n">
        <f aca="false">MIN(B193:L193)</f>
        <v>0.123438596491228</v>
      </c>
      <c r="N193" s="246" t="n">
        <f aca="false">SUMPRODUCT(($M$7:$M$557&gt;M193)*1)+SUMPRODUCT(($M$7:$M$557=M193)*(ROW($M$7:$M$557)&lt;ROW(M193)))+1</f>
        <v>32</v>
      </c>
      <c r="O193" s="246" t="str">
        <f aca="false">IF(M193&gt;=0.13,"★★★ EXCELLENT",IF(M193&gt;=0.12,"★★  GOOD",IF(M193&gt;=0.07,"★  FAIR",IF(M193&gt;=0.025,"⚠  MARGINAL","✗  AVOID"))))</f>
        <v>★★  GOOD</v>
      </c>
    </row>
    <row r="194" customFormat="false" ht="15" hidden="false" customHeight="true" outlineLevel="0" collapsed="false">
      <c r="A194" s="247" t="n">
        <v>23.7</v>
      </c>
      <c r="B194" s="248"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48"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48"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48"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48"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48"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48"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48"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48"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48"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48"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48" t="n">
        <f aca="false">MIN(B194:L194)</f>
        <v>0.113368421052632</v>
      </c>
      <c r="N194" s="248" t="n">
        <f aca="false">SUMPRODUCT(($M$7:$M$557&gt;M194)*1)+SUMPRODUCT(($M$7:$M$557=M194)*(ROW($M$7:$M$557)&lt;ROW(M194)))+1</f>
        <v>53</v>
      </c>
      <c r="O194" s="248" t="str">
        <f aca="false">IF(M194&gt;=0.13,"★★★ EXCELLENT",IF(M194&gt;=0.12,"★★  GOOD",IF(M194&gt;=0.07,"★  FAIR",IF(M194&gt;=0.025,"⚠  MARGINAL","✗  AVOID"))))</f>
        <v>★  FAIR</v>
      </c>
    </row>
    <row r="195" customFormat="false" ht="15" hidden="false" customHeight="true" outlineLevel="0" collapsed="false">
      <c r="A195" s="245" t="n">
        <v>23.8</v>
      </c>
      <c r="B195" s="246"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46"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46"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46"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46"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46"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46"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46"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46"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46"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46"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46" t="n">
        <f aca="false">MIN(B195:L195)</f>
        <v>0.103298245614035</v>
      </c>
      <c r="N195" s="246" t="n">
        <f aca="false">SUMPRODUCT(($M$7:$M$557&gt;M195)*1)+SUMPRODUCT(($M$7:$M$557=M195)*(ROW($M$7:$M$557)&lt;ROW(M195)))+1</f>
        <v>79</v>
      </c>
      <c r="O195" s="246" t="str">
        <f aca="false">IF(M195&gt;=0.13,"★★★ EXCELLENT",IF(M195&gt;=0.12,"★★  GOOD",IF(M195&gt;=0.07,"★  FAIR",IF(M195&gt;=0.025,"⚠  MARGINAL","✗  AVOID"))))</f>
        <v>★  FAIR</v>
      </c>
    </row>
    <row r="196" customFormat="false" ht="15" hidden="false" customHeight="true" outlineLevel="0" collapsed="false">
      <c r="A196" s="247" t="n">
        <v>23.9</v>
      </c>
      <c r="B196" s="248"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48"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48"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48"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48"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48"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48"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48"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48"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48"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48"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48" t="n">
        <f aca="false">MIN(B196:L196)</f>
        <v>0.0932280701754387</v>
      </c>
      <c r="N196" s="248" t="n">
        <f aca="false">SUMPRODUCT(($M$7:$M$557&gt;M196)*1)+SUMPRODUCT(($M$7:$M$557=M196)*(ROW($M$7:$M$557)&lt;ROW(M196)))+1</f>
        <v>105</v>
      </c>
      <c r="O196" s="248" t="str">
        <f aca="false">IF(M196&gt;=0.13,"★★★ EXCELLENT",IF(M196&gt;=0.12,"★★  GOOD",IF(M196&gt;=0.07,"★  FAIR",IF(M196&gt;=0.025,"⚠  MARGINAL","✗  AVOID"))))</f>
        <v>★  FAIR</v>
      </c>
    </row>
    <row r="197" customFormat="false" ht="15" hidden="false" customHeight="true" outlineLevel="0" collapsed="false">
      <c r="A197" s="245" t="n">
        <v>24</v>
      </c>
      <c r="B197" s="246"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46"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46"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46"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46"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46"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46"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46"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46"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46"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46"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46" t="n">
        <f aca="false">MIN(B197:L197)</f>
        <v>0.0831578947368423</v>
      </c>
      <c r="N197" s="246" t="n">
        <f aca="false">SUMPRODUCT(($M$7:$M$557&gt;M197)*1)+SUMPRODUCT(($M$7:$M$557=M197)*(ROW($M$7:$M$557)&lt;ROW(M197)))+1</f>
        <v>132</v>
      </c>
      <c r="O197" s="246" t="str">
        <f aca="false">IF(M197&gt;=0.13,"★★★ EXCELLENT",IF(M197&gt;=0.12,"★★  GOOD",IF(M197&gt;=0.07,"★  FAIR",IF(M197&gt;=0.025,"⚠  MARGINAL","✗  AVOID"))))</f>
        <v>★  FAIR</v>
      </c>
    </row>
    <row r="198" customFormat="false" ht="15" hidden="false" customHeight="true" outlineLevel="0" collapsed="false">
      <c r="A198" s="247" t="n">
        <v>24.1</v>
      </c>
      <c r="B198" s="248"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48"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48"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48"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48"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48"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48"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48"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48"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48"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48"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48" t="n">
        <f aca="false">MIN(B198:L198)</f>
        <v>0.0730877192982455</v>
      </c>
      <c r="N198" s="248" t="n">
        <f aca="false">SUMPRODUCT(($M$7:$M$557&gt;M198)*1)+SUMPRODUCT(($M$7:$M$557=M198)*(ROW($M$7:$M$557)&lt;ROW(M198)))+1</f>
        <v>162</v>
      </c>
      <c r="O198" s="248" t="str">
        <f aca="false">IF(M198&gt;=0.13,"★★★ EXCELLENT",IF(M198&gt;=0.12,"★★  GOOD",IF(M198&gt;=0.07,"★  FAIR",IF(M198&gt;=0.025,"⚠  MARGINAL","✗  AVOID"))))</f>
        <v>★  FAIR</v>
      </c>
    </row>
    <row r="199" customFormat="false" ht="15" hidden="false" customHeight="true" outlineLevel="0" collapsed="false">
      <c r="A199" s="245" t="n">
        <v>24.2</v>
      </c>
      <c r="B199" s="246"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46"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46"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46"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46"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46"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46"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46"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46"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46"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46"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46" t="n">
        <f aca="false">MIN(B199:L199)</f>
        <v>0.0630175438596492</v>
      </c>
      <c r="N199" s="246" t="n">
        <f aca="false">SUMPRODUCT(($M$7:$M$557&gt;M199)*1)+SUMPRODUCT(($M$7:$M$557=M199)*(ROW($M$7:$M$557)&lt;ROW(M199)))+1</f>
        <v>193</v>
      </c>
      <c r="O199" s="246" t="str">
        <f aca="false">IF(M199&gt;=0.13,"★★★ EXCELLENT",IF(M199&gt;=0.12,"★★  GOOD",IF(M199&gt;=0.07,"★  FAIR",IF(M199&gt;=0.025,"⚠  MARGINAL","✗  AVOID"))))</f>
        <v>⚠  MARGINAL</v>
      </c>
    </row>
    <row r="200" customFormat="false" ht="15" hidden="false" customHeight="true" outlineLevel="0" collapsed="false">
      <c r="A200" s="247" t="n">
        <v>24.3</v>
      </c>
      <c r="B200" s="248"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48"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48"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48"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48"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48"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48"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48"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48"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48"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48"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48" t="n">
        <f aca="false">MIN(B200:L200)</f>
        <v>0.0529473684210529</v>
      </c>
      <c r="N200" s="248" t="n">
        <f aca="false">SUMPRODUCT(($M$7:$M$557&gt;M200)*1)+SUMPRODUCT(($M$7:$M$557=M200)*(ROW($M$7:$M$557)&lt;ROW(M200)))+1</f>
        <v>223</v>
      </c>
      <c r="O200" s="248" t="str">
        <f aca="false">IF(M200&gt;=0.13,"★★★ EXCELLENT",IF(M200&gt;=0.12,"★★  GOOD",IF(M200&gt;=0.07,"★  FAIR",IF(M200&gt;=0.025,"⚠  MARGINAL","✗  AVOID"))))</f>
        <v>⚠  MARGINAL</v>
      </c>
    </row>
    <row r="201" customFormat="false" ht="15" hidden="false" customHeight="true" outlineLevel="0" collapsed="false">
      <c r="A201" s="245" t="n">
        <v>24.4</v>
      </c>
      <c r="B201" s="246"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46"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46"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46"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46"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46"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46"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46"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46"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46"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46"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46" t="n">
        <f aca="false">MIN(B201:L201)</f>
        <v>0.0428771929824561</v>
      </c>
      <c r="N201" s="246" t="n">
        <f aca="false">SUMPRODUCT(($M$7:$M$557&gt;M201)*1)+SUMPRODUCT(($M$7:$M$557=M201)*(ROW($M$7:$M$557)&lt;ROW(M201)))+1</f>
        <v>253</v>
      </c>
      <c r="O201" s="246" t="str">
        <f aca="false">IF(M201&gt;=0.13,"★★★ EXCELLENT",IF(M201&gt;=0.12,"★★  GOOD",IF(M201&gt;=0.07,"★  FAIR",IF(M201&gt;=0.025,"⚠  MARGINAL","✗  AVOID"))))</f>
        <v>⚠  MARGINAL</v>
      </c>
    </row>
    <row r="202" customFormat="false" ht="15" hidden="false" customHeight="true" outlineLevel="0" collapsed="false">
      <c r="A202" s="247" t="n">
        <v>24.5</v>
      </c>
      <c r="B202" s="248"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48"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48"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48"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48"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48"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48"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48"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48"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48"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48"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48" t="n">
        <f aca="false">MIN(B202:L202)</f>
        <v>0.0328070175438597</v>
      </c>
      <c r="N202" s="248" t="n">
        <f aca="false">SUMPRODUCT(($M$7:$M$557&gt;M202)*1)+SUMPRODUCT(($M$7:$M$557=M202)*(ROW($M$7:$M$557)&lt;ROW(M202)))+1</f>
        <v>283</v>
      </c>
      <c r="O202" s="248" t="str">
        <f aca="false">IF(M202&gt;=0.13,"★★★ EXCELLENT",IF(M202&gt;=0.12,"★★  GOOD",IF(M202&gt;=0.07,"★  FAIR",IF(M202&gt;=0.025,"⚠  MARGINAL","✗  AVOID"))))</f>
        <v>⚠  MARGINAL</v>
      </c>
    </row>
    <row r="203" customFormat="false" ht="15" hidden="false" customHeight="true" outlineLevel="0" collapsed="false">
      <c r="A203" s="245" t="n">
        <v>24.6</v>
      </c>
      <c r="B203" s="246"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46"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46"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46"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46"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46"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46"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46"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46"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46"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46"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46" t="n">
        <f aca="false">MIN(B203:L203)</f>
        <v>0.0227368421052634</v>
      </c>
      <c r="N203" s="246" t="n">
        <f aca="false">SUMPRODUCT(($M$7:$M$557&gt;M203)*1)+SUMPRODUCT(($M$7:$M$557=M203)*(ROW($M$7:$M$557)&lt;ROW(M203)))+1</f>
        <v>314</v>
      </c>
      <c r="O203" s="246" t="str">
        <f aca="false">IF(M203&gt;=0.13,"★★★ EXCELLENT",IF(M203&gt;=0.12,"★★  GOOD",IF(M203&gt;=0.07,"★  FAIR",IF(M203&gt;=0.025,"⚠  MARGINAL","✗  AVOID"))))</f>
        <v>✗  AVOID</v>
      </c>
    </row>
    <row r="204" customFormat="false" ht="15" hidden="false" customHeight="true" outlineLevel="0" collapsed="false">
      <c r="A204" s="247" t="n">
        <v>24.7</v>
      </c>
      <c r="B204" s="248"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48"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48"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48"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48"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48"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48"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48"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48"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48"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48"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48" t="n">
        <f aca="false">MIN(B204:L204)</f>
        <v>0.0126666666666666</v>
      </c>
      <c r="N204" s="248" t="n">
        <f aca="false">SUMPRODUCT(($M$7:$M$557&gt;M204)*1)+SUMPRODUCT(($M$7:$M$557=M204)*(ROW($M$7:$M$557)&lt;ROW(M204)))+1</f>
        <v>344</v>
      </c>
      <c r="O204" s="248" t="str">
        <f aca="false">IF(M204&gt;=0.13,"★★★ EXCELLENT",IF(M204&gt;=0.12,"★★  GOOD",IF(M204&gt;=0.07,"★  FAIR",IF(M204&gt;=0.025,"⚠  MARGINAL","✗  AVOID"))))</f>
        <v>✗  AVOID</v>
      </c>
    </row>
    <row r="205" customFormat="false" ht="15" hidden="false" customHeight="true" outlineLevel="0" collapsed="false">
      <c r="A205" s="245" t="n">
        <v>24.8</v>
      </c>
      <c r="B205" s="246"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46"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46"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46"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46"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46"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46"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46"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46"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46"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46"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46" t="n">
        <f aca="false">MIN(B205:L205)</f>
        <v>0.00259649122807026</v>
      </c>
      <c r="N205" s="246" t="n">
        <f aca="false">SUMPRODUCT(($M$7:$M$557&gt;M205)*1)+SUMPRODUCT(($M$7:$M$557=M205)*(ROW($M$7:$M$557)&lt;ROW(M205)))+1</f>
        <v>374</v>
      </c>
      <c r="O205" s="246" t="str">
        <f aca="false">IF(M205&gt;=0.13,"★★★ EXCELLENT",IF(M205&gt;=0.12,"★★  GOOD",IF(M205&gt;=0.07,"★  FAIR",IF(M205&gt;=0.025,"⚠  MARGINAL","✗  AVOID"))))</f>
        <v>✗  AVOID</v>
      </c>
    </row>
    <row r="206" customFormat="false" ht="15" hidden="false" customHeight="true" outlineLevel="0" collapsed="false">
      <c r="A206" s="247" t="n">
        <v>24.9</v>
      </c>
      <c r="B206" s="248"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48"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48"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48"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48"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48"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48"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48"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48"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48"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48"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48" t="n">
        <f aca="false">MIN(B206:L206)</f>
        <v>0</v>
      </c>
      <c r="N206" s="248" t="n">
        <f aca="false">SUMPRODUCT(($M$7:$M$557&gt;M206)*1)+SUMPRODUCT(($M$7:$M$557=M206)*(ROW($M$7:$M$557)&lt;ROW(M206)))+1</f>
        <v>447</v>
      </c>
      <c r="O206" s="248" t="str">
        <f aca="false">IF(M206&gt;=0.13,"★★★ EXCELLENT",IF(M206&gt;=0.12,"★★  GOOD",IF(M206&gt;=0.07,"★  FAIR",IF(M206&gt;=0.025,"⚠  MARGINAL","✗  AVOID"))))</f>
        <v>✗  AVOID</v>
      </c>
    </row>
    <row r="207" customFormat="false" ht="15" hidden="false" customHeight="true" outlineLevel="0" collapsed="false">
      <c r="A207" s="245" t="n">
        <v>25</v>
      </c>
      <c r="B207" s="246"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46"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46"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46"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46"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46"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46"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46"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46"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46"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46"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46" t="n">
        <f aca="false">MIN(B207:L207)</f>
        <v>0</v>
      </c>
      <c r="N207" s="246" t="n">
        <f aca="false">SUMPRODUCT(($M$7:$M$557&gt;M207)*1)+SUMPRODUCT(($M$7:$M$557=M207)*(ROW($M$7:$M$557)&lt;ROW(M207)))+1</f>
        <v>448</v>
      </c>
      <c r="O207" s="246" t="str">
        <f aca="false">IF(M207&gt;=0.13,"★★★ EXCELLENT",IF(M207&gt;=0.12,"★★  GOOD",IF(M207&gt;=0.07,"★  FAIR",IF(M207&gt;=0.025,"⚠  MARGINAL","✗  AVOID"))))</f>
        <v>✗  AVOID</v>
      </c>
    </row>
    <row r="208" customFormat="false" ht="15" hidden="false" customHeight="true" outlineLevel="0" collapsed="false">
      <c r="A208" s="247" t="n">
        <v>25.1</v>
      </c>
      <c r="B208" s="248"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48"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48"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48"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48"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48"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48"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48"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48"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48"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48"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48" t="n">
        <f aca="false">MIN(B208:L208)</f>
        <v>0</v>
      </c>
      <c r="N208" s="248" t="n">
        <f aca="false">SUMPRODUCT(($M$7:$M$557&gt;M208)*1)+SUMPRODUCT(($M$7:$M$557=M208)*(ROW($M$7:$M$557)&lt;ROW(M208)))+1</f>
        <v>449</v>
      </c>
      <c r="O208" s="248" t="str">
        <f aca="false">IF(M208&gt;=0.13,"★★★ EXCELLENT",IF(M208&gt;=0.12,"★★  GOOD",IF(M208&gt;=0.07,"★  FAIR",IF(M208&gt;=0.025,"⚠  MARGINAL","✗  AVOID"))))</f>
        <v>✗  AVOID</v>
      </c>
    </row>
    <row r="209" customFormat="false" ht="15" hidden="false" customHeight="true" outlineLevel="0" collapsed="false">
      <c r="A209" s="245" t="n">
        <v>25.2</v>
      </c>
      <c r="B209" s="246"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46"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46"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46"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46"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46"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46"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46"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46"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46"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46"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46" t="n">
        <f aca="false">MIN(B209:L209)</f>
        <v>0</v>
      </c>
      <c r="N209" s="246" t="n">
        <f aca="false">SUMPRODUCT(($M$7:$M$557&gt;M209)*1)+SUMPRODUCT(($M$7:$M$557=M209)*(ROW($M$7:$M$557)&lt;ROW(M209)))+1</f>
        <v>450</v>
      </c>
      <c r="O209" s="246" t="str">
        <f aca="false">IF(M209&gt;=0.13,"★★★ EXCELLENT",IF(M209&gt;=0.12,"★★  GOOD",IF(M209&gt;=0.07,"★  FAIR",IF(M209&gt;=0.025,"⚠  MARGINAL","✗  AVOID"))))</f>
        <v>✗  AVOID</v>
      </c>
    </row>
    <row r="210" customFormat="false" ht="15" hidden="false" customHeight="true" outlineLevel="0" collapsed="false">
      <c r="A210" s="247" t="n">
        <v>25.3</v>
      </c>
      <c r="B210" s="248"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48"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48"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48"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48"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48"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48"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48"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48"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48"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48"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48" t="n">
        <f aca="false">MIN(B210:L210)</f>
        <v>0</v>
      </c>
      <c r="N210" s="248" t="n">
        <f aca="false">SUMPRODUCT(($M$7:$M$557&gt;M210)*1)+SUMPRODUCT(($M$7:$M$557=M210)*(ROW($M$7:$M$557)&lt;ROW(M210)))+1</f>
        <v>451</v>
      </c>
      <c r="O210" s="248" t="str">
        <f aca="false">IF(M210&gt;=0.13,"★★★ EXCELLENT",IF(M210&gt;=0.12,"★★  GOOD",IF(M210&gt;=0.07,"★  FAIR",IF(M210&gt;=0.025,"⚠  MARGINAL","✗  AVOID"))))</f>
        <v>✗  AVOID</v>
      </c>
    </row>
    <row r="211" customFormat="false" ht="15" hidden="false" customHeight="true" outlineLevel="0" collapsed="false">
      <c r="A211" s="245" t="n">
        <v>25.4</v>
      </c>
      <c r="B211" s="246"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46"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46"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46"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46"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46"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46"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46"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46"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46"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46"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46" t="n">
        <f aca="false">MIN(B211:L211)</f>
        <v>0</v>
      </c>
      <c r="N211" s="246" t="n">
        <f aca="false">SUMPRODUCT(($M$7:$M$557&gt;M211)*1)+SUMPRODUCT(($M$7:$M$557=M211)*(ROW($M$7:$M$557)&lt;ROW(M211)))+1</f>
        <v>452</v>
      </c>
      <c r="O211" s="246" t="str">
        <f aca="false">IF(M211&gt;=0.13,"★★★ EXCELLENT",IF(M211&gt;=0.12,"★★  GOOD",IF(M211&gt;=0.07,"★  FAIR",IF(M211&gt;=0.025,"⚠  MARGINAL","✗  AVOID"))))</f>
        <v>✗  AVOID</v>
      </c>
    </row>
    <row r="212" customFormat="false" ht="15" hidden="false" customHeight="true" outlineLevel="0" collapsed="false">
      <c r="A212" s="247" t="n">
        <v>25.5</v>
      </c>
      <c r="B212" s="248"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48"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48"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48"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48"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48"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48"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48"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48"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48"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48"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48" t="n">
        <f aca="false">MIN(B212:L212)</f>
        <v>0.00526315789473664</v>
      </c>
      <c r="N212" s="248" t="n">
        <f aca="false">SUMPRODUCT(($M$7:$M$557&gt;M212)*1)+SUMPRODUCT(($M$7:$M$557=M212)*(ROW($M$7:$M$557)&lt;ROW(M212)))+1</f>
        <v>366</v>
      </c>
      <c r="O212" s="248" t="str">
        <f aca="false">IF(M212&gt;=0.13,"★★★ EXCELLENT",IF(M212&gt;=0.12,"★★  GOOD",IF(M212&gt;=0.07,"★  FAIR",IF(M212&gt;=0.025,"⚠  MARGINAL","✗  AVOID"))))</f>
        <v>✗  AVOID</v>
      </c>
    </row>
    <row r="213" customFormat="false" ht="15" hidden="false" customHeight="true" outlineLevel="0" collapsed="false">
      <c r="A213" s="245" t="n">
        <v>25.6</v>
      </c>
      <c r="B213" s="246"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46"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46"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46"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46"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46"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46"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46"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46"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46"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46"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46" t="n">
        <f aca="false">MIN(B213:L213)</f>
        <v>0.0150877192982457</v>
      </c>
      <c r="N213" s="246" t="n">
        <f aca="false">SUMPRODUCT(($M$7:$M$557&gt;M213)*1)+SUMPRODUCT(($M$7:$M$557=M213)*(ROW($M$7:$M$557)&lt;ROW(M213)))+1</f>
        <v>337</v>
      </c>
      <c r="O213" s="246" t="str">
        <f aca="false">IF(M213&gt;=0.13,"★★★ EXCELLENT",IF(M213&gt;=0.12,"★★  GOOD",IF(M213&gt;=0.07,"★  FAIR",IF(M213&gt;=0.025,"⚠  MARGINAL","✗  AVOID"))))</f>
        <v>✗  AVOID</v>
      </c>
    </row>
    <row r="214" customFormat="false" ht="15" hidden="false" customHeight="true" outlineLevel="0" collapsed="false">
      <c r="A214" s="247" t="n">
        <v>25.7</v>
      </c>
      <c r="B214" s="248"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48"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48"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48"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48"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48"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48"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48"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48"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48"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48"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48" t="n">
        <f aca="false">MIN(B214:L214)</f>
        <v>0.0249122807017543</v>
      </c>
      <c r="N214" s="248" t="n">
        <f aca="false">SUMPRODUCT(($M$7:$M$557&gt;M214)*1)+SUMPRODUCT(($M$7:$M$557=M214)*(ROW($M$7:$M$557)&lt;ROW(M214)))+1</f>
        <v>307</v>
      </c>
      <c r="O214" s="248" t="str">
        <f aca="false">IF(M214&gt;=0.13,"★★★ EXCELLENT",IF(M214&gt;=0.12,"★★  GOOD",IF(M214&gt;=0.07,"★  FAIR",IF(M214&gt;=0.025,"⚠  MARGINAL","✗  AVOID"))))</f>
        <v>✗  AVOID</v>
      </c>
    </row>
    <row r="215" customFormat="false" ht="15" hidden="false" customHeight="true" outlineLevel="0" collapsed="false">
      <c r="A215" s="245" t="n">
        <v>25.8</v>
      </c>
      <c r="B215" s="246"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46"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46"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46"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46"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46"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46"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46"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46"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46"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46"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46" t="n">
        <f aca="false">MIN(B215:L215)</f>
        <v>0.034736842105263</v>
      </c>
      <c r="N215" s="246" t="n">
        <f aca="false">SUMPRODUCT(($M$7:$M$557&gt;M215)*1)+SUMPRODUCT(($M$7:$M$557=M215)*(ROW($M$7:$M$557)&lt;ROW(M215)))+1</f>
        <v>278</v>
      </c>
      <c r="O215" s="246" t="str">
        <f aca="false">IF(M215&gt;=0.13,"★★★ EXCELLENT",IF(M215&gt;=0.12,"★★  GOOD",IF(M215&gt;=0.07,"★  FAIR",IF(M215&gt;=0.025,"⚠  MARGINAL","✗  AVOID"))))</f>
        <v>⚠  MARGINAL</v>
      </c>
    </row>
    <row r="216" customFormat="false" ht="15" hidden="false" customHeight="true" outlineLevel="0" collapsed="false">
      <c r="A216" s="247" t="n">
        <v>25.9</v>
      </c>
      <c r="B216" s="248"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48"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48"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48"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48"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48"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48"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48"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48"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48"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48"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48" t="n">
        <f aca="false">MIN(B216:L216)</f>
        <v>0.0445614035087716</v>
      </c>
      <c r="N216" s="248" t="n">
        <f aca="false">SUMPRODUCT(($M$7:$M$557&gt;M216)*1)+SUMPRODUCT(($M$7:$M$557=M216)*(ROW($M$7:$M$557)&lt;ROW(M216)))+1</f>
        <v>248</v>
      </c>
      <c r="O216" s="248" t="str">
        <f aca="false">IF(M216&gt;=0.13,"★★★ EXCELLENT",IF(M216&gt;=0.12,"★★  GOOD",IF(M216&gt;=0.07,"★  FAIR",IF(M216&gt;=0.025,"⚠  MARGINAL","✗  AVOID"))))</f>
        <v>⚠  MARGINAL</v>
      </c>
    </row>
    <row r="217" customFormat="false" ht="15" hidden="false" customHeight="true" outlineLevel="0" collapsed="false">
      <c r="A217" s="245" t="n">
        <v>26</v>
      </c>
      <c r="B217" s="246"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46"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46"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46"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46"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46"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46"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46"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46"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46"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46"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46" t="n">
        <f aca="false">MIN(B217:L217)</f>
        <v>0.0543859649122807</v>
      </c>
      <c r="N217" s="246" t="n">
        <f aca="false">SUMPRODUCT(($M$7:$M$557&gt;M217)*1)+SUMPRODUCT(($M$7:$M$557=M217)*(ROW($M$7:$M$557)&lt;ROW(M217)))+1</f>
        <v>218</v>
      </c>
      <c r="O217" s="246" t="str">
        <f aca="false">IF(M217&gt;=0.13,"★★★ EXCELLENT",IF(M217&gt;=0.12,"★★  GOOD",IF(M217&gt;=0.07,"★  FAIR",IF(M217&gt;=0.025,"⚠  MARGINAL","✗  AVOID"))))</f>
        <v>⚠  MARGINAL</v>
      </c>
    </row>
    <row r="218" customFormat="false" ht="15" hidden="false" customHeight="true" outlineLevel="0" collapsed="false">
      <c r="A218" s="247" t="n">
        <v>26.1</v>
      </c>
      <c r="B218" s="248"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48"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48"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48"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48"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48"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48"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48"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48"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48"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48"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48" t="n">
        <f aca="false">MIN(B218:L218)</f>
        <v>0.0642105263157897</v>
      </c>
      <c r="N218" s="248" t="n">
        <f aca="false">SUMPRODUCT(($M$7:$M$557&gt;M218)*1)+SUMPRODUCT(($M$7:$M$557=M218)*(ROW($M$7:$M$557)&lt;ROW(M218)))+1</f>
        <v>189</v>
      </c>
      <c r="O218" s="248" t="str">
        <f aca="false">IF(M218&gt;=0.13,"★★★ EXCELLENT",IF(M218&gt;=0.12,"★★  GOOD",IF(M218&gt;=0.07,"★  FAIR",IF(M218&gt;=0.025,"⚠  MARGINAL","✗  AVOID"))))</f>
        <v>⚠  MARGINAL</v>
      </c>
    </row>
    <row r="219" customFormat="false" ht="15" hidden="false" customHeight="true" outlineLevel="0" collapsed="false">
      <c r="A219" s="245" t="n">
        <v>26.2</v>
      </c>
      <c r="B219" s="246"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46"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46"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46"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46"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46"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46"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46"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46"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46"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46"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46" t="n">
        <f aca="false">MIN(B219:L219)</f>
        <v>0.0740350877192983</v>
      </c>
      <c r="N219" s="246" t="n">
        <f aca="false">SUMPRODUCT(($M$7:$M$557&gt;M219)*1)+SUMPRODUCT(($M$7:$M$557=M219)*(ROW($M$7:$M$557)&lt;ROW(M219)))+1</f>
        <v>159</v>
      </c>
      <c r="O219" s="246" t="str">
        <f aca="false">IF(M219&gt;=0.13,"★★★ EXCELLENT",IF(M219&gt;=0.12,"★★  GOOD",IF(M219&gt;=0.07,"★  FAIR",IF(M219&gt;=0.025,"⚠  MARGINAL","✗  AVOID"))))</f>
        <v>★  FAIR</v>
      </c>
    </row>
    <row r="220" customFormat="false" ht="15" hidden="false" customHeight="true" outlineLevel="0" collapsed="false">
      <c r="A220" s="247" t="n">
        <v>26.3</v>
      </c>
      <c r="B220" s="248"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48"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48"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48"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48"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48"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48"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48"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48"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48"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48"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48" t="n">
        <f aca="false">MIN(B220:L220)</f>
        <v>0.083859649122807</v>
      </c>
      <c r="N220" s="248" t="n">
        <f aca="false">SUMPRODUCT(($M$7:$M$557&gt;M220)*1)+SUMPRODUCT(($M$7:$M$557=M220)*(ROW($M$7:$M$557)&lt;ROW(M220)))+1</f>
        <v>130</v>
      </c>
      <c r="O220" s="248" t="str">
        <f aca="false">IF(M220&gt;=0.13,"★★★ EXCELLENT",IF(M220&gt;=0.12,"★★  GOOD",IF(M220&gt;=0.07,"★  FAIR",IF(M220&gt;=0.025,"⚠  MARGINAL","✗  AVOID"))))</f>
        <v>★  FAIR</v>
      </c>
    </row>
    <row r="221" customFormat="false" ht="15" hidden="false" customHeight="true" outlineLevel="0" collapsed="false">
      <c r="A221" s="245" t="n">
        <v>26.4</v>
      </c>
      <c r="B221" s="246"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46"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46"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46"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46"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46"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46"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46"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46"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46"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46"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46" t="n">
        <f aca="false">MIN(B221:L221)</f>
        <v>0.0936842105263156</v>
      </c>
      <c r="N221" s="246" t="n">
        <f aca="false">SUMPRODUCT(($M$7:$M$557&gt;M221)*1)+SUMPRODUCT(($M$7:$M$557=M221)*(ROW($M$7:$M$557)&lt;ROW(M221)))+1</f>
        <v>102</v>
      </c>
      <c r="O221" s="246" t="str">
        <f aca="false">IF(M221&gt;=0.13,"★★★ EXCELLENT",IF(M221&gt;=0.12,"★★  GOOD",IF(M221&gt;=0.07,"★  FAIR",IF(M221&gt;=0.025,"⚠  MARGINAL","✗  AVOID"))))</f>
        <v>★  FAIR</v>
      </c>
    </row>
    <row r="222" customFormat="false" ht="15" hidden="false" customHeight="true" outlineLevel="0" collapsed="false">
      <c r="A222" s="247" t="n">
        <v>26.5</v>
      </c>
      <c r="B222" s="248"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48"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48"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48"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48"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48"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48"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48"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48"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48"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48"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48" t="n">
        <f aca="false">MIN(B222:L222)</f>
        <v>0.103508771929825</v>
      </c>
      <c r="N222" s="248" t="n">
        <f aca="false">SUMPRODUCT(($M$7:$M$557&gt;M222)*1)+SUMPRODUCT(($M$7:$M$557=M222)*(ROW($M$7:$M$557)&lt;ROW(M222)))+1</f>
        <v>77</v>
      </c>
      <c r="O222" s="248" t="str">
        <f aca="false">IF(M222&gt;=0.13,"★★★ EXCELLENT",IF(M222&gt;=0.12,"★★  GOOD",IF(M222&gt;=0.07,"★  FAIR",IF(M222&gt;=0.025,"⚠  MARGINAL","✗  AVOID"))))</f>
        <v>★  FAIR</v>
      </c>
    </row>
    <row r="223" customFormat="false" ht="15" hidden="false" customHeight="true" outlineLevel="0" collapsed="false">
      <c r="A223" s="245" t="n">
        <v>26.6</v>
      </c>
      <c r="B223" s="246"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46"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46"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46"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46"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46"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46"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46"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46"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46"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46"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46" t="n">
        <f aca="false">MIN(B223:L223)</f>
        <v>0.113333333333334</v>
      </c>
      <c r="N223" s="246" t="n">
        <f aca="false">SUMPRODUCT(($M$7:$M$557&gt;M223)*1)+SUMPRODUCT(($M$7:$M$557=M223)*(ROW($M$7:$M$557)&lt;ROW(M223)))+1</f>
        <v>54</v>
      </c>
      <c r="O223" s="246" t="str">
        <f aca="false">IF(M223&gt;=0.13,"★★★ EXCELLENT",IF(M223&gt;=0.12,"★★  GOOD",IF(M223&gt;=0.07,"★  FAIR",IF(M223&gt;=0.025,"⚠  MARGINAL","✗  AVOID"))))</f>
        <v>★  FAIR</v>
      </c>
    </row>
    <row r="224" customFormat="false" ht="15" hidden="false" customHeight="true" outlineLevel="0" collapsed="false">
      <c r="A224" s="247" t="n">
        <v>26.7</v>
      </c>
      <c r="B224" s="248"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48"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48"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48"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48"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48"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48"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48"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48"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48"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48"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48" t="n">
        <f aca="false">MIN(B224:L224)</f>
        <v>0.123157894736842</v>
      </c>
      <c r="N224" s="248" t="n">
        <f aca="false">SUMPRODUCT(($M$7:$M$557&gt;M224)*1)+SUMPRODUCT(($M$7:$M$557=M224)*(ROW($M$7:$M$557)&lt;ROW(M224)))+1</f>
        <v>33</v>
      </c>
      <c r="O224" s="248" t="str">
        <f aca="false">IF(M224&gt;=0.13,"★★★ EXCELLENT",IF(M224&gt;=0.12,"★★  GOOD",IF(M224&gt;=0.07,"★  FAIR",IF(M224&gt;=0.025,"⚠  MARGINAL","✗  AVOID"))))</f>
        <v>★★  GOOD</v>
      </c>
    </row>
    <row r="225" customFormat="false" ht="15" hidden="false" customHeight="true" outlineLevel="0" collapsed="false">
      <c r="A225" s="245" t="n">
        <v>26.8</v>
      </c>
      <c r="B225" s="246"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46"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46"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46"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46"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46"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46"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46"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46"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46"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46"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46" t="n">
        <f aca="false">MIN(B225:L225)</f>
        <v>0.127087719298246</v>
      </c>
      <c r="N225" s="246" t="n">
        <f aca="false">SUMPRODUCT(($M$7:$M$557&gt;M225)*1)+SUMPRODUCT(($M$7:$M$557=M225)*(ROW($M$7:$M$557)&lt;ROW(M225)))+1</f>
        <v>25</v>
      </c>
      <c r="O225" s="246" t="str">
        <f aca="false">IF(M225&gt;=0.13,"★★★ EXCELLENT",IF(M225&gt;=0.12,"★★  GOOD",IF(M225&gt;=0.07,"★  FAIR",IF(M225&gt;=0.025,"⚠  MARGINAL","✗  AVOID"))))</f>
        <v>★★  GOOD</v>
      </c>
    </row>
    <row r="226" customFormat="false" ht="15" hidden="false" customHeight="true" outlineLevel="0" collapsed="false">
      <c r="A226" s="247" t="n">
        <v>26.9</v>
      </c>
      <c r="B226" s="248"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48"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48"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48"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48"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48"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48"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48"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48"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48"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48"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48" t="n">
        <f aca="false">MIN(B226:L226)</f>
        <v>0.121964912280702</v>
      </c>
      <c r="N226" s="248" t="n">
        <f aca="false">SUMPRODUCT(($M$7:$M$557&gt;M226)*1)+SUMPRODUCT(($M$7:$M$557=M226)*(ROW($M$7:$M$557)&lt;ROW(M226)))+1</f>
        <v>36</v>
      </c>
      <c r="O226" s="248" t="str">
        <f aca="false">IF(M226&gt;=0.13,"★★★ EXCELLENT",IF(M226&gt;=0.12,"★★  GOOD",IF(M226&gt;=0.07,"★  FAIR",IF(M226&gt;=0.025,"⚠  MARGINAL","✗  AVOID"))))</f>
        <v>★★  GOOD</v>
      </c>
    </row>
    <row r="227" customFormat="false" ht="15" hidden="false" customHeight="true" outlineLevel="0" collapsed="false">
      <c r="A227" s="245" t="n">
        <v>27</v>
      </c>
      <c r="B227" s="246"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46"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46"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46"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46"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46"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46"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46"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46"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46"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46"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46" t="n">
        <f aca="false">MIN(B227:L227)</f>
        <v>0.116842105263158</v>
      </c>
      <c r="N227" s="246" t="n">
        <f aca="false">SUMPRODUCT(($M$7:$M$557&gt;M227)*1)+SUMPRODUCT(($M$7:$M$557=M227)*(ROW($M$7:$M$557)&lt;ROW(M227)))+1</f>
        <v>46</v>
      </c>
      <c r="O227" s="246" t="str">
        <f aca="false">IF(M227&gt;=0.13,"★★★ EXCELLENT",IF(M227&gt;=0.12,"★★  GOOD",IF(M227&gt;=0.07,"★  FAIR",IF(M227&gt;=0.025,"⚠  MARGINAL","✗  AVOID"))))</f>
        <v>★  FAIR</v>
      </c>
    </row>
    <row r="228" customFormat="false" ht="15" hidden="false" customHeight="true" outlineLevel="0" collapsed="false">
      <c r="A228" s="247" t="n">
        <v>27.1</v>
      </c>
      <c r="B228" s="248"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48"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48"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48"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48"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48"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48"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48"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48"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48"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48"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48" t="n">
        <f aca="false">MIN(B228:L228)</f>
        <v>0.111719298245614</v>
      </c>
      <c r="N228" s="248" t="n">
        <f aca="false">SUMPRODUCT(($M$7:$M$557&gt;M228)*1)+SUMPRODUCT(($M$7:$M$557=M228)*(ROW($M$7:$M$557)&lt;ROW(M228)))+1</f>
        <v>58</v>
      </c>
      <c r="O228" s="248" t="str">
        <f aca="false">IF(M228&gt;=0.13,"★★★ EXCELLENT",IF(M228&gt;=0.12,"★★  GOOD",IF(M228&gt;=0.07,"★  FAIR",IF(M228&gt;=0.025,"⚠  MARGINAL","✗  AVOID"))))</f>
        <v>★  FAIR</v>
      </c>
    </row>
    <row r="229" customFormat="false" ht="15" hidden="false" customHeight="true" outlineLevel="0" collapsed="false">
      <c r="A229" s="245" t="n">
        <v>27.2</v>
      </c>
      <c r="B229" s="246"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46"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46"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46"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46"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46"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46"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46"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46"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46"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46"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46" t="n">
        <f aca="false">MIN(B229:L229)</f>
        <v>0.10659649122807</v>
      </c>
      <c r="N229" s="246" t="n">
        <f aca="false">SUMPRODUCT(($M$7:$M$557&gt;M229)*1)+SUMPRODUCT(($M$7:$M$557=M229)*(ROW($M$7:$M$557)&lt;ROW(M229)))+1</f>
        <v>69</v>
      </c>
      <c r="O229" s="246" t="str">
        <f aca="false">IF(M229&gt;=0.13,"★★★ EXCELLENT",IF(M229&gt;=0.12,"★★  GOOD",IF(M229&gt;=0.07,"★  FAIR",IF(M229&gt;=0.025,"⚠  MARGINAL","✗  AVOID"))))</f>
        <v>★  FAIR</v>
      </c>
    </row>
    <row r="230" customFormat="false" ht="15" hidden="false" customHeight="true" outlineLevel="0" collapsed="false">
      <c r="A230" s="247" t="n">
        <v>27.3</v>
      </c>
      <c r="B230" s="248"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48"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48"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48"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48"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48"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48"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48"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48"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48"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48"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48" t="n">
        <f aca="false">MIN(B230:L230)</f>
        <v>0.101473684210526</v>
      </c>
      <c r="N230" s="248" t="n">
        <f aca="false">SUMPRODUCT(($M$7:$M$557&gt;M230)*1)+SUMPRODUCT(($M$7:$M$557=M230)*(ROW($M$7:$M$557)&lt;ROW(M230)))+1</f>
        <v>82</v>
      </c>
      <c r="O230" s="248" t="str">
        <f aca="false">IF(M230&gt;=0.13,"★★★ EXCELLENT",IF(M230&gt;=0.12,"★★  GOOD",IF(M230&gt;=0.07,"★  FAIR",IF(M230&gt;=0.025,"⚠  MARGINAL","✗  AVOID"))))</f>
        <v>★  FAIR</v>
      </c>
    </row>
    <row r="231" customFormat="false" ht="15" hidden="false" customHeight="true" outlineLevel="0" collapsed="false">
      <c r="A231" s="245" t="n">
        <v>27.4</v>
      </c>
      <c r="B231" s="246"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46"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46"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46"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46"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46"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46"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46"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46"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46"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46"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46" t="n">
        <f aca="false">MIN(B231:L231)</f>
        <v>0.0963508771929826</v>
      </c>
      <c r="N231" s="246" t="n">
        <f aca="false">SUMPRODUCT(($M$7:$M$557&gt;M231)*1)+SUMPRODUCT(($M$7:$M$557=M231)*(ROW($M$7:$M$557)&lt;ROW(M231)))+1</f>
        <v>96</v>
      </c>
      <c r="O231" s="246" t="str">
        <f aca="false">IF(M231&gt;=0.13,"★★★ EXCELLENT",IF(M231&gt;=0.12,"★★  GOOD",IF(M231&gt;=0.07,"★  FAIR",IF(M231&gt;=0.025,"⚠  MARGINAL","✗  AVOID"))))</f>
        <v>★  FAIR</v>
      </c>
    </row>
    <row r="232" customFormat="false" ht="15" hidden="false" customHeight="true" outlineLevel="0" collapsed="false">
      <c r="A232" s="247" t="n">
        <v>27.5</v>
      </c>
      <c r="B232" s="248"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48"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48"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48"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48"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48"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48"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48"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48"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48"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48"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48" t="n">
        <f aca="false">MIN(B232:L232)</f>
        <v>0.0912280701754387</v>
      </c>
      <c r="N232" s="248" t="n">
        <f aca="false">SUMPRODUCT(($M$7:$M$557&gt;M232)*1)+SUMPRODUCT(($M$7:$M$557=M232)*(ROW($M$7:$M$557)&lt;ROW(M232)))+1</f>
        <v>111</v>
      </c>
      <c r="O232" s="248" t="str">
        <f aca="false">IF(M232&gt;=0.13,"★★★ EXCELLENT",IF(M232&gt;=0.12,"★★  GOOD",IF(M232&gt;=0.07,"★  FAIR",IF(M232&gt;=0.025,"⚠  MARGINAL","✗  AVOID"))))</f>
        <v>★  FAIR</v>
      </c>
    </row>
    <row r="233" customFormat="false" ht="15" hidden="false" customHeight="true" outlineLevel="0" collapsed="false">
      <c r="A233" s="245" t="n">
        <v>27.6</v>
      </c>
      <c r="B233" s="246"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46"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46"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46"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46"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46"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46"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46"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46"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46"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46"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46" t="n">
        <f aca="false">MIN(B233:L233)</f>
        <v>0.0861052631578947</v>
      </c>
      <c r="N233" s="246" t="n">
        <f aca="false">SUMPRODUCT(($M$7:$M$557&gt;M233)*1)+SUMPRODUCT(($M$7:$M$557=M233)*(ROW($M$7:$M$557)&lt;ROW(M233)))+1</f>
        <v>124</v>
      </c>
      <c r="O233" s="246" t="str">
        <f aca="false">IF(M233&gt;=0.13,"★★★ EXCELLENT",IF(M233&gt;=0.12,"★★  GOOD",IF(M233&gt;=0.07,"★  FAIR",IF(M233&gt;=0.025,"⚠  MARGINAL","✗  AVOID"))))</f>
        <v>★  FAIR</v>
      </c>
    </row>
    <row r="234" customFormat="false" ht="15" hidden="false" customHeight="true" outlineLevel="0" collapsed="false">
      <c r="A234" s="247" t="n">
        <v>27.7</v>
      </c>
      <c r="B234" s="248"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48"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48"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48"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48"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48"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48"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48"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48"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48"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48"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48" t="n">
        <f aca="false">MIN(B234:L234)</f>
        <v>0.0809824561403509</v>
      </c>
      <c r="N234" s="248" t="n">
        <f aca="false">SUMPRODUCT(($M$7:$M$557&gt;M234)*1)+SUMPRODUCT(($M$7:$M$557=M234)*(ROW($M$7:$M$557)&lt;ROW(M234)))+1</f>
        <v>139</v>
      </c>
      <c r="O234" s="248" t="str">
        <f aca="false">IF(M234&gt;=0.13,"★★★ EXCELLENT",IF(M234&gt;=0.12,"★★  GOOD",IF(M234&gt;=0.07,"★  FAIR",IF(M234&gt;=0.025,"⚠  MARGINAL","✗  AVOID"))))</f>
        <v>★  FAIR</v>
      </c>
    </row>
    <row r="235" customFormat="false" ht="15" hidden="false" customHeight="true" outlineLevel="0" collapsed="false">
      <c r="A235" s="245" t="n">
        <v>27.8</v>
      </c>
      <c r="B235" s="246"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46"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46"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46"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46"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46"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46"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46"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46"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46"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46"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46" t="n">
        <f aca="false">MIN(B235:L235)</f>
        <v>0.075859649122807</v>
      </c>
      <c r="N235" s="246" t="n">
        <f aca="false">SUMPRODUCT(($M$7:$M$557&gt;M235)*1)+SUMPRODUCT(($M$7:$M$557=M235)*(ROW($M$7:$M$557)&lt;ROW(M235)))+1</f>
        <v>155</v>
      </c>
      <c r="O235" s="246" t="str">
        <f aca="false">IF(M235&gt;=0.13,"★★★ EXCELLENT",IF(M235&gt;=0.12,"★★  GOOD",IF(M235&gt;=0.07,"★  FAIR",IF(M235&gt;=0.025,"⚠  MARGINAL","✗  AVOID"))))</f>
        <v>★  FAIR</v>
      </c>
    </row>
    <row r="236" customFormat="false" ht="15" hidden="false" customHeight="true" outlineLevel="0" collapsed="false">
      <c r="A236" s="247" t="n">
        <v>27.9</v>
      </c>
      <c r="B236" s="248"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48"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48"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48"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48"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48"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48"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48"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48"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48"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48"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48" t="n">
        <f aca="false">MIN(B236:L236)</f>
        <v>0.0707368421052632</v>
      </c>
      <c r="N236" s="248" t="n">
        <f aca="false">SUMPRODUCT(($M$7:$M$557&gt;M236)*1)+SUMPRODUCT(($M$7:$M$557=M236)*(ROW($M$7:$M$557)&lt;ROW(M236)))+1</f>
        <v>170</v>
      </c>
      <c r="O236" s="248" t="str">
        <f aca="false">IF(M236&gt;=0.13,"★★★ EXCELLENT",IF(M236&gt;=0.12,"★★  GOOD",IF(M236&gt;=0.07,"★  FAIR",IF(M236&gt;=0.025,"⚠  MARGINAL","✗  AVOID"))))</f>
        <v>★  FAIR</v>
      </c>
    </row>
    <row r="237" customFormat="false" ht="15" hidden="false" customHeight="true" outlineLevel="0" collapsed="false">
      <c r="A237" s="245" t="n">
        <v>28</v>
      </c>
      <c r="B237" s="246"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46"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46"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46"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46"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46"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46"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46"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46"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46"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46"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46" t="n">
        <f aca="false">MIN(B237:L237)</f>
        <v>0.0656140350877192</v>
      </c>
      <c r="N237" s="246" t="n">
        <f aca="false">SUMPRODUCT(($M$7:$M$557&gt;M237)*1)+SUMPRODUCT(($M$7:$M$557=M237)*(ROW($M$7:$M$557)&lt;ROW(M237)))+1</f>
        <v>186</v>
      </c>
      <c r="O237" s="246" t="str">
        <f aca="false">IF(M237&gt;=0.13,"★★★ EXCELLENT",IF(M237&gt;=0.12,"★★  GOOD",IF(M237&gt;=0.07,"★  FAIR",IF(M237&gt;=0.025,"⚠  MARGINAL","✗  AVOID"))))</f>
        <v>⚠  MARGINAL</v>
      </c>
    </row>
    <row r="238" customFormat="false" ht="15" hidden="false" customHeight="true" outlineLevel="0" collapsed="false">
      <c r="A238" s="247" t="n">
        <v>28.1</v>
      </c>
      <c r="B238" s="248"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48"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48"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48"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48"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48"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48"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48"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48"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48"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48"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48" t="n">
        <f aca="false">MIN(B238:L238)</f>
        <v>0.0604912280701755</v>
      </c>
      <c r="N238" s="248" t="n">
        <f aca="false">SUMPRODUCT(($M$7:$M$557&gt;M238)*1)+SUMPRODUCT(($M$7:$M$557=M238)*(ROW($M$7:$M$557)&lt;ROW(M238)))+1</f>
        <v>201</v>
      </c>
      <c r="O238" s="248" t="str">
        <f aca="false">IF(M238&gt;=0.13,"★★★ EXCELLENT",IF(M238&gt;=0.12,"★★  GOOD",IF(M238&gt;=0.07,"★  FAIR",IF(M238&gt;=0.025,"⚠  MARGINAL","✗  AVOID"))))</f>
        <v>⚠  MARGINAL</v>
      </c>
    </row>
    <row r="239" customFormat="false" ht="15" hidden="false" customHeight="true" outlineLevel="0" collapsed="false">
      <c r="A239" s="245" t="n">
        <v>28.2</v>
      </c>
      <c r="B239" s="246"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46"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46"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46"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46"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46"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46"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46"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46"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46"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46"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46" t="n">
        <f aca="false">MIN(B239:L239)</f>
        <v>0.0553684210526317</v>
      </c>
      <c r="N239" s="246" t="n">
        <f aca="false">SUMPRODUCT(($M$7:$M$557&gt;M239)*1)+SUMPRODUCT(($M$7:$M$557=M239)*(ROW($M$7:$M$557)&lt;ROW(M239)))+1</f>
        <v>216</v>
      </c>
      <c r="O239" s="246" t="str">
        <f aca="false">IF(M239&gt;=0.13,"★★★ EXCELLENT",IF(M239&gt;=0.12,"★★  GOOD",IF(M239&gt;=0.07,"★  FAIR",IF(M239&gt;=0.025,"⚠  MARGINAL","✗  AVOID"))))</f>
        <v>⚠  MARGINAL</v>
      </c>
    </row>
    <row r="240" customFormat="false" ht="15" hidden="false" customHeight="true" outlineLevel="0" collapsed="false">
      <c r="A240" s="247" t="n">
        <v>28.3</v>
      </c>
      <c r="B240" s="248"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48"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48"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48"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48"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48"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48"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48"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48"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48"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48"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48" t="n">
        <f aca="false">MIN(B240:L240)</f>
        <v>0.0502456140350878</v>
      </c>
      <c r="N240" s="248" t="n">
        <f aca="false">SUMPRODUCT(($M$7:$M$557&gt;M240)*1)+SUMPRODUCT(($M$7:$M$557=M240)*(ROW($M$7:$M$557)&lt;ROW(M240)))+1</f>
        <v>231</v>
      </c>
      <c r="O240" s="248" t="str">
        <f aca="false">IF(M240&gt;=0.13,"★★★ EXCELLENT",IF(M240&gt;=0.12,"★★  GOOD",IF(M240&gt;=0.07,"★  FAIR",IF(M240&gt;=0.025,"⚠  MARGINAL","✗  AVOID"))))</f>
        <v>⚠  MARGINAL</v>
      </c>
    </row>
    <row r="241" customFormat="false" ht="15" hidden="false" customHeight="true" outlineLevel="0" collapsed="false">
      <c r="A241" s="245" t="n">
        <v>28.4</v>
      </c>
      <c r="B241" s="246"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46"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46"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46"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46"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46"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46"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46"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46"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46"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46"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46" t="n">
        <f aca="false">MIN(B241:L241)</f>
        <v>0.045122807017544</v>
      </c>
      <c r="N241" s="246" t="n">
        <f aca="false">SUMPRODUCT(($M$7:$M$557&gt;M241)*1)+SUMPRODUCT(($M$7:$M$557=M241)*(ROW($M$7:$M$557)&lt;ROW(M241)))+1</f>
        <v>247</v>
      </c>
      <c r="O241" s="246" t="str">
        <f aca="false">IF(M241&gt;=0.13,"★★★ EXCELLENT",IF(M241&gt;=0.12,"★★  GOOD",IF(M241&gt;=0.07,"★  FAIR",IF(M241&gt;=0.025,"⚠  MARGINAL","✗  AVOID"))))</f>
        <v>⚠  MARGINAL</v>
      </c>
    </row>
    <row r="242" customFormat="false" ht="15" hidden="false" customHeight="true" outlineLevel="0" collapsed="false">
      <c r="A242" s="247" t="n">
        <v>28.5</v>
      </c>
      <c r="B242" s="248"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48"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48"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48"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48"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48"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48"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48"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48"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48"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48"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48" t="n">
        <f aca="false">MIN(B242:L242)</f>
        <v>0.04</v>
      </c>
      <c r="N242" s="248" t="n">
        <f aca="false">SUMPRODUCT(($M$7:$M$557&gt;M242)*1)+SUMPRODUCT(($M$7:$M$557=M242)*(ROW($M$7:$M$557)&lt;ROW(M242)))+1</f>
        <v>262</v>
      </c>
      <c r="O242" s="248" t="str">
        <f aca="false">IF(M242&gt;=0.13,"★★★ EXCELLENT",IF(M242&gt;=0.12,"★★  GOOD",IF(M242&gt;=0.07,"★  FAIR",IF(M242&gt;=0.025,"⚠  MARGINAL","✗  AVOID"))))</f>
        <v>⚠  MARGINAL</v>
      </c>
    </row>
    <row r="243" customFormat="false" ht="15" hidden="false" customHeight="true" outlineLevel="0" collapsed="false">
      <c r="A243" s="245" t="n">
        <v>28.6</v>
      </c>
      <c r="B243" s="246"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46"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46"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46"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46"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46"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46"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46"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46"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46"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46"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46" t="n">
        <f aca="false">MIN(B243:L243)</f>
        <v>0.0348771929824561</v>
      </c>
      <c r="N243" s="246" t="n">
        <f aca="false">SUMPRODUCT(($M$7:$M$557&gt;M243)*1)+SUMPRODUCT(($M$7:$M$557=M243)*(ROW($M$7:$M$557)&lt;ROW(M243)))+1</f>
        <v>277</v>
      </c>
      <c r="O243" s="246" t="str">
        <f aca="false">IF(M243&gt;=0.13,"★★★ EXCELLENT",IF(M243&gt;=0.12,"★★  GOOD",IF(M243&gt;=0.07,"★  FAIR",IF(M243&gt;=0.025,"⚠  MARGINAL","✗  AVOID"))))</f>
        <v>⚠  MARGINAL</v>
      </c>
    </row>
    <row r="244" customFormat="false" ht="15" hidden="false" customHeight="true" outlineLevel="0" collapsed="false">
      <c r="A244" s="247" t="n">
        <v>28.7</v>
      </c>
      <c r="B244" s="248"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48"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48"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48"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48"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48"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48"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48"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48"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48"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48"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48" t="n">
        <f aca="false">MIN(B244:L244)</f>
        <v>0.0297543859649123</v>
      </c>
      <c r="N244" s="248" t="n">
        <f aca="false">SUMPRODUCT(($M$7:$M$557&gt;M244)*1)+SUMPRODUCT(($M$7:$M$557=M244)*(ROW($M$7:$M$557)&lt;ROW(M244)))+1</f>
        <v>294</v>
      </c>
      <c r="O244" s="248" t="str">
        <f aca="false">IF(M244&gt;=0.13,"★★★ EXCELLENT",IF(M244&gt;=0.12,"★★  GOOD",IF(M244&gt;=0.07,"★  FAIR",IF(M244&gt;=0.025,"⚠  MARGINAL","✗  AVOID"))))</f>
        <v>⚠  MARGINAL</v>
      </c>
    </row>
    <row r="245" customFormat="false" ht="15" hidden="false" customHeight="true" outlineLevel="0" collapsed="false">
      <c r="A245" s="245" t="n">
        <v>28.8</v>
      </c>
      <c r="B245" s="246"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46"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46"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46"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46"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46"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46"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46"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46"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46"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46"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46" t="n">
        <f aca="false">MIN(B245:L245)</f>
        <v>0.0246315789473683</v>
      </c>
      <c r="N245" s="246" t="n">
        <f aca="false">SUMPRODUCT(($M$7:$M$557&gt;M245)*1)+SUMPRODUCT(($M$7:$M$557=M245)*(ROW($M$7:$M$557)&lt;ROW(M245)))+1</f>
        <v>309</v>
      </c>
      <c r="O245" s="246" t="str">
        <f aca="false">IF(M245&gt;=0.13,"★★★ EXCELLENT",IF(M245&gt;=0.12,"★★  GOOD",IF(M245&gt;=0.07,"★  FAIR",IF(M245&gt;=0.025,"⚠  MARGINAL","✗  AVOID"))))</f>
        <v>✗  AVOID</v>
      </c>
    </row>
    <row r="246" customFormat="false" ht="15" hidden="false" customHeight="true" outlineLevel="0" collapsed="false">
      <c r="A246" s="247" t="n">
        <v>28.9</v>
      </c>
      <c r="B246" s="248"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48"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48"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48"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48"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48"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48"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48"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48"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48"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48"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48" t="n">
        <f aca="false">MIN(B246:L246)</f>
        <v>0.0195087719298248</v>
      </c>
      <c r="N246" s="248" t="n">
        <f aca="false">SUMPRODUCT(($M$7:$M$557&gt;M246)*1)+SUMPRODUCT(($M$7:$M$557=M246)*(ROW($M$7:$M$557)&lt;ROW(M246)))+1</f>
        <v>324</v>
      </c>
      <c r="O246" s="248" t="str">
        <f aca="false">IF(M246&gt;=0.13,"★★★ EXCELLENT",IF(M246&gt;=0.12,"★★  GOOD",IF(M246&gt;=0.07,"★  FAIR",IF(M246&gt;=0.025,"⚠  MARGINAL","✗  AVOID"))))</f>
        <v>✗  AVOID</v>
      </c>
    </row>
    <row r="247" customFormat="false" ht="15" hidden="false" customHeight="true" outlineLevel="0" collapsed="false">
      <c r="A247" s="245" t="n">
        <v>29</v>
      </c>
      <c r="B247" s="246"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46"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46"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46"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46"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46"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46"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46"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46"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46"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46"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46" t="n">
        <f aca="false">MIN(B247:L247)</f>
        <v>0.0143859649122808</v>
      </c>
      <c r="N247" s="246" t="n">
        <f aca="false">SUMPRODUCT(($M$7:$M$557&gt;M247)*1)+SUMPRODUCT(($M$7:$M$557=M247)*(ROW($M$7:$M$557)&lt;ROW(M247)))+1</f>
        <v>339</v>
      </c>
      <c r="O247" s="246" t="str">
        <f aca="false">IF(M247&gt;=0.13,"★★★ EXCELLENT",IF(M247&gt;=0.12,"★★  GOOD",IF(M247&gt;=0.07,"★  FAIR",IF(M247&gt;=0.025,"⚠  MARGINAL","✗  AVOID"))))</f>
        <v>✗  AVOID</v>
      </c>
    </row>
    <row r="248" customFormat="false" ht="15" hidden="false" customHeight="true" outlineLevel="0" collapsed="false">
      <c r="A248" s="247" t="n">
        <v>29.1</v>
      </c>
      <c r="B248" s="248"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48"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48"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48"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48"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48"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48"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48"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48"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48"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48"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48" t="n">
        <f aca="false">MIN(B248:L248)</f>
        <v>0.00926315789473686</v>
      </c>
      <c r="N248" s="248" t="n">
        <f aca="false">SUMPRODUCT(($M$7:$M$557&gt;M248)*1)+SUMPRODUCT(($M$7:$M$557=M248)*(ROW($M$7:$M$557)&lt;ROW(M248)))+1</f>
        <v>355</v>
      </c>
      <c r="O248" s="248" t="str">
        <f aca="false">IF(M248&gt;=0.13,"★★★ EXCELLENT",IF(M248&gt;=0.12,"★★  GOOD",IF(M248&gt;=0.07,"★  FAIR",IF(M248&gt;=0.025,"⚠  MARGINAL","✗  AVOID"))))</f>
        <v>✗  AVOID</v>
      </c>
    </row>
    <row r="249" customFormat="false" ht="15" hidden="false" customHeight="true" outlineLevel="0" collapsed="false">
      <c r="A249" s="245" t="n">
        <v>29.2</v>
      </c>
      <c r="B249" s="246"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46"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46"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46"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46"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46"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46"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46"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46"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46"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46"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46" t="n">
        <f aca="false">MIN(B249:L249)</f>
        <v>0.00414035087719311</v>
      </c>
      <c r="N249" s="246" t="n">
        <f aca="false">SUMPRODUCT(($M$7:$M$557&gt;M249)*1)+SUMPRODUCT(($M$7:$M$557=M249)*(ROW($M$7:$M$557)&lt;ROW(M249)))+1</f>
        <v>370</v>
      </c>
      <c r="O249" s="246" t="str">
        <f aca="false">IF(M249&gt;=0.13,"★★★ EXCELLENT",IF(M249&gt;=0.12,"★★  GOOD",IF(M249&gt;=0.07,"★  FAIR",IF(M249&gt;=0.025,"⚠  MARGINAL","✗  AVOID"))))</f>
        <v>✗  AVOID</v>
      </c>
    </row>
    <row r="250" customFormat="false" ht="15" hidden="false" customHeight="true" outlineLevel="0" collapsed="false">
      <c r="A250" s="247" t="n">
        <v>29.3</v>
      </c>
      <c r="B250" s="248"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48"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48"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48"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48"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48"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48"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48"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48"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48"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48"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48" t="n">
        <f aca="false">MIN(B250:L250)</f>
        <v>0</v>
      </c>
      <c r="N250" s="248" t="n">
        <f aca="false">SUMPRODUCT(($M$7:$M$557&gt;M250)*1)+SUMPRODUCT(($M$7:$M$557=M250)*(ROW($M$7:$M$557)&lt;ROW(M250)))+1</f>
        <v>453</v>
      </c>
      <c r="O250" s="248" t="str">
        <f aca="false">IF(M250&gt;=0.13,"★★★ EXCELLENT",IF(M250&gt;=0.12,"★★  GOOD",IF(M250&gt;=0.07,"★  FAIR",IF(M250&gt;=0.025,"⚠  MARGINAL","✗  AVOID"))))</f>
        <v>✗  AVOID</v>
      </c>
    </row>
    <row r="251" customFormat="false" ht="15" hidden="false" customHeight="true" outlineLevel="0" collapsed="false">
      <c r="A251" s="245" t="n">
        <v>29.4</v>
      </c>
      <c r="B251" s="246"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46"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46"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46"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46"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46"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46"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46"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46"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46"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46"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46" t="n">
        <f aca="false">MIN(B251:L251)</f>
        <v>0</v>
      </c>
      <c r="N251" s="246" t="n">
        <f aca="false">SUMPRODUCT(($M$7:$M$557&gt;M251)*1)+SUMPRODUCT(($M$7:$M$557=M251)*(ROW($M$7:$M$557)&lt;ROW(M251)))+1</f>
        <v>454</v>
      </c>
      <c r="O251" s="246" t="str">
        <f aca="false">IF(M251&gt;=0.13,"★★★ EXCELLENT",IF(M251&gt;=0.12,"★★  GOOD",IF(M251&gt;=0.07,"★  FAIR",IF(M251&gt;=0.025,"⚠  MARGINAL","✗  AVOID"))))</f>
        <v>✗  AVOID</v>
      </c>
    </row>
    <row r="252" customFormat="false" ht="15" hidden="false" customHeight="true" outlineLevel="0" collapsed="false">
      <c r="A252" s="247" t="n">
        <v>29.5</v>
      </c>
      <c r="B252" s="248"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48"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48"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48"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48"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48"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48"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48"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48"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48"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48"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48" t="n">
        <f aca="false">MIN(B252:L252)</f>
        <v>0</v>
      </c>
      <c r="N252" s="248" t="n">
        <f aca="false">SUMPRODUCT(($M$7:$M$557&gt;M252)*1)+SUMPRODUCT(($M$7:$M$557=M252)*(ROW($M$7:$M$557)&lt;ROW(M252)))+1</f>
        <v>455</v>
      </c>
      <c r="O252" s="248" t="str">
        <f aca="false">IF(M252&gt;=0.13,"★★★ EXCELLENT",IF(M252&gt;=0.12,"★★  GOOD",IF(M252&gt;=0.07,"★  FAIR",IF(M252&gt;=0.025,"⚠  MARGINAL","✗  AVOID"))))</f>
        <v>✗  AVOID</v>
      </c>
    </row>
    <row r="253" customFormat="false" ht="15" hidden="false" customHeight="true" outlineLevel="0" collapsed="false">
      <c r="A253" s="245" t="n">
        <v>29.6</v>
      </c>
      <c r="B253" s="246"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46"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46"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46"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46"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46"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46"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46"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46"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46"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46"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46" t="n">
        <f aca="false">MIN(B253:L253)</f>
        <v>0</v>
      </c>
      <c r="N253" s="246" t="n">
        <f aca="false">SUMPRODUCT(($M$7:$M$557&gt;M253)*1)+SUMPRODUCT(($M$7:$M$557=M253)*(ROW($M$7:$M$557)&lt;ROW(M253)))+1</f>
        <v>456</v>
      </c>
      <c r="O253" s="246" t="str">
        <f aca="false">IF(M253&gt;=0.13,"★★★ EXCELLENT",IF(M253&gt;=0.12,"★★  GOOD",IF(M253&gt;=0.07,"★  FAIR",IF(M253&gt;=0.025,"⚠  MARGINAL","✗  AVOID"))))</f>
        <v>✗  AVOID</v>
      </c>
    </row>
    <row r="254" customFormat="false" ht="15" hidden="false" customHeight="true" outlineLevel="0" collapsed="false">
      <c r="A254" s="247" t="n">
        <v>29.7</v>
      </c>
      <c r="B254" s="248"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48"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48"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48"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48"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48"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48"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48"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48"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48"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48"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48" t="n">
        <f aca="false">MIN(B254:L254)</f>
        <v>0</v>
      </c>
      <c r="N254" s="248" t="n">
        <f aca="false">SUMPRODUCT(($M$7:$M$557&gt;M254)*1)+SUMPRODUCT(($M$7:$M$557=M254)*(ROW($M$7:$M$557)&lt;ROW(M254)))+1</f>
        <v>457</v>
      </c>
      <c r="O254" s="248" t="str">
        <f aca="false">IF(M254&gt;=0.13,"★★★ EXCELLENT",IF(M254&gt;=0.12,"★★  GOOD",IF(M254&gt;=0.07,"★  FAIR",IF(M254&gt;=0.025,"⚠  MARGINAL","✗  AVOID"))))</f>
        <v>✗  AVOID</v>
      </c>
    </row>
    <row r="255" customFormat="false" ht="15" hidden="false" customHeight="true" outlineLevel="0" collapsed="false">
      <c r="A255" s="245" t="n">
        <v>29.8</v>
      </c>
      <c r="B255" s="246"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46"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46"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46"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46"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46"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46"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46"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46"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46"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46"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46" t="n">
        <f aca="false">MIN(B255:L255)</f>
        <v>0</v>
      </c>
      <c r="N255" s="246" t="n">
        <f aca="false">SUMPRODUCT(($M$7:$M$557&gt;M255)*1)+SUMPRODUCT(($M$7:$M$557=M255)*(ROW($M$7:$M$557)&lt;ROW(M255)))+1</f>
        <v>458</v>
      </c>
      <c r="O255" s="246" t="str">
        <f aca="false">IF(M255&gt;=0.13,"★★★ EXCELLENT",IF(M255&gt;=0.12,"★★  GOOD",IF(M255&gt;=0.07,"★  FAIR",IF(M255&gt;=0.025,"⚠  MARGINAL","✗  AVOID"))))</f>
        <v>✗  AVOID</v>
      </c>
    </row>
    <row r="256" customFormat="false" ht="15" hidden="false" customHeight="true" outlineLevel="0" collapsed="false">
      <c r="A256" s="247" t="n">
        <v>29.9</v>
      </c>
      <c r="B256" s="248"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48"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48"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48"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48"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48"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48"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48"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48"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48"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48"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48" t="n">
        <f aca="false">MIN(B256:L256)</f>
        <v>0</v>
      </c>
      <c r="N256" s="248" t="n">
        <f aca="false">SUMPRODUCT(($M$7:$M$557&gt;M256)*1)+SUMPRODUCT(($M$7:$M$557=M256)*(ROW($M$7:$M$557)&lt;ROW(M256)))+1</f>
        <v>459</v>
      </c>
      <c r="O256" s="248" t="str">
        <f aca="false">IF(M256&gt;=0.13,"★★★ EXCELLENT",IF(M256&gt;=0.12,"★★  GOOD",IF(M256&gt;=0.07,"★  FAIR",IF(M256&gt;=0.025,"⚠  MARGINAL","✗  AVOID"))))</f>
        <v>✗  AVOID</v>
      </c>
    </row>
    <row r="257" customFormat="false" ht="15" hidden="false" customHeight="true" outlineLevel="0" collapsed="false">
      <c r="A257" s="245" t="n">
        <v>30</v>
      </c>
      <c r="B257" s="246"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46"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46"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46"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46"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46"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46"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46"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46"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46"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46"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46" t="n">
        <f aca="false">MIN(B257:L257)</f>
        <v>0</v>
      </c>
      <c r="N257" s="246" t="n">
        <f aca="false">SUMPRODUCT(($M$7:$M$557&gt;M257)*1)+SUMPRODUCT(($M$7:$M$557=M257)*(ROW($M$7:$M$557)&lt;ROW(M257)))+1</f>
        <v>460</v>
      </c>
      <c r="O257" s="246" t="str">
        <f aca="false">IF(M257&gt;=0.13,"★★★ EXCELLENT",IF(M257&gt;=0.12,"★★  GOOD",IF(M257&gt;=0.07,"★  FAIR",IF(M257&gt;=0.025,"⚠  MARGINAL","✗  AVOID"))))</f>
        <v>✗  AVOID</v>
      </c>
    </row>
    <row r="258" customFormat="false" ht="15" hidden="false" customHeight="true" outlineLevel="0" collapsed="false">
      <c r="A258" s="247" t="n">
        <v>30.1</v>
      </c>
      <c r="B258" s="248"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48"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48"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48"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48"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48"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48"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48"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48"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48"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48"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48" t="n">
        <f aca="false">MIN(B258:L258)</f>
        <v>0</v>
      </c>
      <c r="N258" s="248" t="n">
        <f aca="false">SUMPRODUCT(($M$7:$M$557&gt;M258)*1)+SUMPRODUCT(($M$7:$M$557=M258)*(ROW($M$7:$M$557)&lt;ROW(M258)))+1</f>
        <v>461</v>
      </c>
      <c r="O258" s="248" t="str">
        <f aca="false">IF(M258&gt;=0.13,"★★★ EXCELLENT",IF(M258&gt;=0.12,"★★  GOOD",IF(M258&gt;=0.07,"★  FAIR",IF(M258&gt;=0.025,"⚠  MARGINAL","✗  AVOID"))))</f>
        <v>✗  AVOID</v>
      </c>
    </row>
    <row r="259" customFormat="false" ht="15" hidden="false" customHeight="true" outlineLevel="0" collapsed="false">
      <c r="A259" s="245" t="n">
        <v>30.2</v>
      </c>
      <c r="B259" s="246"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46"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46"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46"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46"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46"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46"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46"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46"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46"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46"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46" t="n">
        <f aca="false">MIN(B259:L259)</f>
        <v>0</v>
      </c>
      <c r="N259" s="246" t="n">
        <f aca="false">SUMPRODUCT(($M$7:$M$557&gt;M259)*1)+SUMPRODUCT(($M$7:$M$557=M259)*(ROW($M$7:$M$557)&lt;ROW(M259)))+1</f>
        <v>462</v>
      </c>
      <c r="O259" s="246" t="str">
        <f aca="false">IF(M259&gt;=0.13,"★★★ EXCELLENT",IF(M259&gt;=0.12,"★★  GOOD",IF(M259&gt;=0.07,"★  FAIR",IF(M259&gt;=0.025,"⚠  MARGINAL","✗  AVOID"))))</f>
        <v>✗  AVOID</v>
      </c>
    </row>
    <row r="260" customFormat="false" ht="15" hidden="false" customHeight="true" outlineLevel="0" collapsed="false">
      <c r="A260" s="247" t="n">
        <v>30.3</v>
      </c>
      <c r="B260" s="248"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48"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48"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48"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48"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48"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48"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48"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48"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48"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48"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48" t="n">
        <f aca="false">MIN(B260:L260)</f>
        <v>0</v>
      </c>
      <c r="N260" s="248" t="n">
        <f aca="false">SUMPRODUCT(($M$7:$M$557&gt;M260)*1)+SUMPRODUCT(($M$7:$M$557=M260)*(ROW($M$7:$M$557)&lt;ROW(M260)))+1</f>
        <v>463</v>
      </c>
      <c r="O260" s="248" t="str">
        <f aca="false">IF(M260&gt;=0.13,"★★★ EXCELLENT",IF(M260&gt;=0.12,"★★  GOOD",IF(M260&gt;=0.07,"★  FAIR",IF(M260&gt;=0.025,"⚠  MARGINAL","✗  AVOID"))))</f>
        <v>✗  AVOID</v>
      </c>
    </row>
    <row r="261" customFormat="false" ht="15" hidden="false" customHeight="true" outlineLevel="0" collapsed="false">
      <c r="A261" s="245" t="n">
        <v>30.4</v>
      </c>
      <c r="B261" s="246"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46"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46"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46"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46"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46"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46"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46"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46"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46"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46"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46" t="n">
        <f aca="false">MIN(B261:L261)</f>
        <v>0</v>
      </c>
      <c r="N261" s="246" t="n">
        <f aca="false">SUMPRODUCT(($M$7:$M$557&gt;M261)*1)+SUMPRODUCT(($M$7:$M$557=M261)*(ROW($M$7:$M$557)&lt;ROW(M261)))+1</f>
        <v>464</v>
      </c>
      <c r="O261" s="246" t="str">
        <f aca="false">IF(M261&gt;=0.13,"★★★ EXCELLENT",IF(M261&gt;=0.12,"★★  GOOD",IF(M261&gt;=0.07,"★  FAIR",IF(M261&gt;=0.025,"⚠  MARGINAL","✗  AVOID"))))</f>
        <v>✗  AVOID</v>
      </c>
    </row>
    <row r="262" customFormat="false" ht="15" hidden="false" customHeight="true" outlineLevel="0" collapsed="false">
      <c r="A262" s="247" t="n">
        <v>30.5</v>
      </c>
      <c r="B262" s="248"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48"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48"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48"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48"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48"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48"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48"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48"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48"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48"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48" t="n">
        <f aca="false">MIN(B262:L262)</f>
        <v>0</v>
      </c>
      <c r="N262" s="248" t="n">
        <f aca="false">SUMPRODUCT(($M$7:$M$557&gt;M262)*1)+SUMPRODUCT(($M$7:$M$557=M262)*(ROW($M$7:$M$557)&lt;ROW(M262)))+1</f>
        <v>465</v>
      </c>
      <c r="O262" s="248" t="str">
        <f aca="false">IF(M262&gt;=0.13,"★★★ EXCELLENT",IF(M262&gt;=0.12,"★★  GOOD",IF(M262&gt;=0.07,"★  FAIR",IF(M262&gt;=0.025,"⚠  MARGINAL","✗  AVOID"))))</f>
        <v>✗  AVOID</v>
      </c>
    </row>
    <row r="263" customFormat="false" ht="15" hidden="false" customHeight="true" outlineLevel="0" collapsed="false">
      <c r="A263" s="245" t="n">
        <v>30.6</v>
      </c>
      <c r="B263" s="246"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46"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46"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46"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46"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46"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46"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46"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46"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46"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46"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46" t="n">
        <f aca="false">MIN(B263:L263)</f>
        <v>0.00315789473684225</v>
      </c>
      <c r="N263" s="246" t="n">
        <f aca="false">SUMPRODUCT(($M$7:$M$557&gt;M263)*1)+SUMPRODUCT(($M$7:$M$557=M263)*(ROW($M$7:$M$557)&lt;ROW(M263)))+1</f>
        <v>372</v>
      </c>
      <c r="O263" s="246" t="str">
        <f aca="false">IF(M263&gt;=0.13,"★★★ EXCELLENT",IF(M263&gt;=0.12,"★★  GOOD",IF(M263&gt;=0.07,"★  FAIR",IF(M263&gt;=0.025,"⚠  MARGINAL","✗  AVOID"))))</f>
        <v>✗  AVOID</v>
      </c>
    </row>
    <row r="264" customFormat="false" ht="15" hidden="false" customHeight="true" outlineLevel="0" collapsed="false">
      <c r="A264" s="247" t="n">
        <v>30.7</v>
      </c>
      <c r="B264" s="248"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48"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48"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48"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48"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48"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48"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48"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48"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48"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48"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48" t="n">
        <f aca="false">MIN(B264:L264)</f>
        <v>0.00807017543859656</v>
      </c>
      <c r="N264" s="248" t="n">
        <f aca="false">SUMPRODUCT(($M$7:$M$557&gt;M264)*1)+SUMPRODUCT(($M$7:$M$557=M264)*(ROW($M$7:$M$557)&lt;ROW(M264)))+1</f>
        <v>359</v>
      </c>
      <c r="O264" s="248" t="str">
        <f aca="false">IF(M264&gt;=0.13,"★★★ EXCELLENT",IF(M264&gt;=0.12,"★★  GOOD",IF(M264&gt;=0.07,"★  FAIR",IF(M264&gt;=0.025,"⚠  MARGINAL","✗  AVOID"))))</f>
        <v>✗  AVOID</v>
      </c>
    </row>
    <row r="265" customFormat="false" ht="15" hidden="false" customHeight="true" outlineLevel="0" collapsed="false">
      <c r="A265" s="245" t="n">
        <v>30.8</v>
      </c>
      <c r="B265" s="246"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46"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46"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46"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46"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46"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46"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46"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46"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46"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46"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46" t="n">
        <f aca="false">MIN(B265:L265)</f>
        <v>0.0129824561403509</v>
      </c>
      <c r="N265" s="246" t="n">
        <f aca="false">SUMPRODUCT(($M$7:$M$557&gt;M265)*1)+SUMPRODUCT(($M$7:$M$557=M265)*(ROW($M$7:$M$557)&lt;ROW(M265)))+1</f>
        <v>343</v>
      </c>
      <c r="O265" s="246" t="str">
        <f aca="false">IF(M265&gt;=0.13,"★★★ EXCELLENT",IF(M265&gt;=0.12,"★★  GOOD",IF(M265&gt;=0.07,"★  FAIR",IF(M265&gt;=0.025,"⚠  MARGINAL","✗  AVOID"))))</f>
        <v>✗  AVOID</v>
      </c>
    </row>
    <row r="266" customFormat="false" ht="15" hidden="false" customHeight="true" outlineLevel="0" collapsed="false">
      <c r="A266" s="247" t="n">
        <v>30.9</v>
      </c>
      <c r="B266" s="248"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48"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48"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48"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48"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48"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48"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48"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48"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48"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48"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48" t="n">
        <f aca="false">MIN(B266:L266)</f>
        <v>0.0178947368421052</v>
      </c>
      <c r="N266" s="248" t="n">
        <f aca="false">SUMPRODUCT(($M$7:$M$557&gt;M266)*1)+SUMPRODUCT(($M$7:$M$557=M266)*(ROW($M$7:$M$557)&lt;ROW(M266)))+1</f>
        <v>329</v>
      </c>
      <c r="O266" s="248" t="str">
        <f aca="false">IF(M266&gt;=0.13,"★★★ EXCELLENT",IF(M266&gt;=0.12,"★★  GOOD",IF(M266&gt;=0.07,"★  FAIR",IF(M266&gt;=0.025,"⚠  MARGINAL","✗  AVOID"))))</f>
        <v>✗  AVOID</v>
      </c>
    </row>
    <row r="267" customFormat="false" ht="15" hidden="false" customHeight="true" outlineLevel="0" collapsed="false">
      <c r="A267" s="245" t="n">
        <v>31</v>
      </c>
      <c r="B267" s="246"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46"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46"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46"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46"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46"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46"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46"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46"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46"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46"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46" t="n">
        <f aca="false">MIN(B267:L267)</f>
        <v>0.0228070175438597</v>
      </c>
      <c r="N267" s="246" t="n">
        <f aca="false">SUMPRODUCT(($M$7:$M$557&gt;M267)*1)+SUMPRODUCT(($M$7:$M$557=M267)*(ROW($M$7:$M$557)&lt;ROW(M267)))+1</f>
        <v>313</v>
      </c>
      <c r="O267" s="246" t="str">
        <f aca="false">IF(M267&gt;=0.13,"★★★ EXCELLENT",IF(M267&gt;=0.12,"★★  GOOD",IF(M267&gt;=0.07,"★  FAIR",IF(M267&gt;=0.025,"⚠  MARGINAL","✗  AVOID"))))</f>
        <v>✗  AVOID</v>
      </c>
    </row>
    <row r="268" customFormat="false" ht="15" hidden="false" customHeight="true" outlineLevel="0" collapsed="false">
      <c r="A268" s="247" t="n">
        <v>31.1</v>
      </c>
      <c r="B268" s="248"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48"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48"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48"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48"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48"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48"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48"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48"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48"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48"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48" t="n">
        <f aca="false">MIN(B268:L268)</f>
        <v>0.0277192982456143</v>
      </c>
      <c r="N268" s="248" t="n">
        <f aca="false">SUMPRODUCT(($M$7:$M$557&gt;M268)*1)+SUMPRODUCT(($M$7:$M$557=M268)*(ROW($M$7:$M$557)&lt;ROW(M268)))+1</f>
        <v>299</v>
      </c>
      <c r="O268" s="248" t="str">
        <f aca="false">IF(M268&gt;=0.13,"★★★ EXCELLENT",IF(M268&gt;=0.12,"★★  GOOD",IF(M268&gt;=0.07,"★  FAIR",IF(M268&gt;=0.025,"⚠  MARGINAL","✗  AVOID"))))</f>
        <v>⚠  MARGINAL</v>
      </c>
    </row>
    <row r="269" customFormat="false" ht="15" hidden="false" customHeight="true" outlineLevel="0" collapsed="false">
      <c r="A269" s="245" t="n">
        <v>31.2</v>
      </c>
      <c r="B269" s="246"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46"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46"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46"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46"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46"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46"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46"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46"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46"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46"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46" t="n">
        <f aca="false">MIN(B269:L269)</f>
        <v>0.0326315789473686</v>
      </c>
      <c r="N269" s="246" t="n">
        <f aca="false">SUMPRODUCT(($M$7:$M$557&gt;M269)*1)+SUMPRODUCT(($M$7:$M$557=M269)*(ROW($M$7:$M$557)&lt;ROW(M269)))+1</f>
        <v>285</v>
      </c>
      <c r="O269" s="246" t="str">
        <f aca="false">IF(M269&gt;=0.13,"★★★ EXCELLENT",IF(M269&gt;=0.12,"★★  GOOD",IF(M269&gt;=0.07,"★  FAIR",IF(M269&gt;=0.025,"⚠  MARGINAL","✗  AVOID"))))</f>
        <v>⚠  MARGINAL</v>
      </c>
    </row>
    <row r="270" customFormat="false" ht="15" hidden="false" customHeight="true" outlineLevel="0" collapsed="false">
      <c r="A270" s="247" t="n">
        <v>31.3</v>
      </c>
      <c r="B270" s="248"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48"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48"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48"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48"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48"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48"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48"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48"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48"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48"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48" t="n">
        <f aca="false">MIN(B270:L270)</f>
        <v>0.0375438596491227</v>
      </c>
      <c r="N270" s="248" t="n">
        <f aca="false">SUMPRODUCT(($M$7:$M$557&gt;M270)*1)+SUMPRODUCT(($M$7:$M$557=M270)*(ROW($M$7:$M$557)&lt;ROW(M270)))+1</f>
        <v>270</v>
      </c>
      <c r="O270" s="248" t="str">
        <f aca="false">IF(M270&gt;=0.13,"★★★ EXCELLENT",IF(M270&gt;=0.12,"★★  GOOD",IF(M270&gt;=0.07,"★  FAIR",IF(M270&gt;=0.025,"⚠  MARGINAL","✗  AVOID"))))</f>
        <v>⚠  MARGINAL</v>
      </c>
    </row>
    <row r="271" customFormat="false" ht="15" hidden="false" customHeight="true" outlineLevel="0" collapsed="false">
      <c r="A271" s="245" t="n">
        <v>31.4</v>
      </c>
      <c r="B271" s="246"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46"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46"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46"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46"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46"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46"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46"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46"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46"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46"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46" t="n">
        <f aca="false">MIN(B271:L271)</f>
        <v>0.042456140350877</v>
      </c>
      <c r="N271" s="246" t="n">
        <f aca="false">SUMPRODUCT(($M$7:$M$557&gt;M271)*1)+SUMPRODUCT(($M$7:$M$557=M271)*(ROW($M$7:$M$557)&lt;ROW(M271)))+1</f>
        <v>255</v>
      </c>
      <c r="O271" s="246" t="str">
        <f aca="false">IF(M271&gt;=0.13,"★★★ EXCELLENT",IF(M271&gt;=0.12,"★★  GOOD",IF(M271&gt;=0.07,"★  FAIR",IF(M271&gt;=0.025,"⚠  MARGINAL","✗  AVOID"))))</f>
        <v>⚠  MARGINAL</v>
      </c>
    </row>
    <row r="272" customFormat="false" ht="15" hidden="false" customHeight="true" outlineLevel="0" collapsed="false">
      <c r="A272" s="247" t="n">
        <v>31.5</v>
      </c>
      <c r="B272" s="248"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48"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48"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48"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48"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48"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48"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48"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48"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48"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48"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48" t="n">
        <f aca="false">MIN(B272:L272)</f>
        <v>0.0473684210526315</v>
      </c>
      <c r="N272" s="248" t="n">
        <f aca="false">SUMPRODUCT(($M$7:$M$557&gt;M272)*1)+SUMPRODUCT(($M$7:$M$557=M272)*(ROW($M$7:$M$557)&lt;ROW(M272)))+1</f>
        <v>240</v>
      </c>
      <c r="O272" s="248" t="str">
        <f aca="false">IF(M272&gt;=0.13,"★★★ EXCELLENT",IF(M272&gt;=0.12,"★★  GOOD",IF(M272&gt;=0.07,"★  FAIR",IF(M272&gt;=0.025,"⚠  MARGINAL","✗  AVOID"))))</f>
        <v>⚠  MARGINAL</v>
      </c>
    </row>
    <row r="273" customFormat="false" ht="15" hidden="false" customHeight="true" outlineLevel="0" collapsed="false">
      <c r="A273" s="245" t="n">
        <v>31.6</v>
      </c>
      <c r="B273" s="246"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46"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46"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46"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46"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46"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46"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46"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46"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46"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46"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46" t="n">
        <f aca="false">MIN(B273:L273)</f>
        <v>0.052280701754386</v>
      </c>
      <c r="N273" s="246" t="n">
        <f aca="false">SUMPRODUCT(($M$7:$M$557&gt;M273)*1)+SUMPRODUCT(($M$7:$M$557=M273)*(ROW($M$7:$M$557)&lt;ROW(M273)))+1</f>
        <v>226</v>
      </c>
      <c r="O273" s="246" t="str">
        <f aca="false">IF(M273&gt;=0.13,"★★★ EXCELLENT",IF(M273&gt;=0.12,"★★  GOOD",IF(M273&gt;=0.07,"★  FAIR",IF(M273&gt;=0.025,"⚠  MARGINAL","✗  AVOID"))))</f>
        <v>⚠  MARGINAL</v>
      </c>
    </row>
    <row r="274" customFormat="false" ht="15" hidden="false" customHeight="true" outlineLevel="0" collapsed="false">
      <c r="A274" s="247" t="n">
        <v>31.7</v>
      </c>
      <c r="B274" s="248"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48"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48"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48"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48"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48"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48"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48"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48"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48"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48"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48" t="n">
        <f aca="false">MIN(B274:L274)</f>
        <v>0.0571929824561404</v>
      </c>
      <c r="N274" s="248" t="n">
        <f aca="false">SUMPRODUCT(($M$7:$M$557&gt;M274)*1)+SUMPRODUCT(($M$7:$M$557=M274)*(ROW($M$7:$M$557)&lt;ROW(M274)))+1</f>
        <v>211</v>
      </c>
      <c r="O274" s="248" t="str">
        <f aca="false">IF(M274&gt;=0.13,"★★★ EXCELLENT",IF(M274&gt;=0.12,"★★  GOOD",IF(M274&gt;=0.07,"★  FAIR",IF(M274&gt;=0.025,"⚠  MARGINAL","✗  AVOID"))))</f>
        <v>⚠  MARGINAL</v>
      </c>
    </row>
    <row r="275" customFormat="false" ht="15" hidden="false" customHeight="true" outlineLevel="0" collapsed="false">
      <c r="A275" s="245" t="n">
        <v>31.8</v>
      </c>
      <c r="B275" s="246"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46"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46"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46"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46"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46"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46"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46"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46"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46"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46"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46" t="n">
        <f aca="false">MIN(B275:L275)</f>
        <v>0.0621052631578947</v>
      </c>
      <c r="N275" s="246" t="n">
        <f aca="false">SUMPRODUCT(($M$7:$M$557&gt;M275)*1)+SUMPRODUCT(($M$7:$M$557=M275)*(ROW($M$7:$M$557)&lt;ROW(M275)))+1</f>
        <v>197</v>
      </c>
      <c r="O275" s="246" t="str">
        <f aca="false">IF(M275&gt;=0.13,"★★★ EXCELLENT",IF(M275&gt;=0.12,"★★  GOOD",IF(M275&gt;=0.07,"★  FAIR",IF(M275&gt;=0.025,"⚠  MARGINAL","✗  AVOID"))))</f>
        <v>⚠  MARGINAL</v>
      </c>
    </row>
    <row r="276" customFormat="false" ht="15" hidden="false" customHeight="true" outlineLevel="0" collapsed="false">
      <c r="A276" s="247" t="n">
        <v>31.9</v>
      </c>
      <c r="B276" s="248"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48"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48"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48"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48"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48"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48"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48"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48"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48"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48"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48" t="n">
        <f aca="false">MIN(B276:L276)</f>
        <v>0.067017543859649</v>
      </c>
      <c r="N276" s="248" t="n">
        <f aca="false">SUMPRODUCT(($M$7:$M$557&gt;M276)*1)+SUMPRODUCT(($M$7:$M$557=M276)*(ROW($M$7:$M$557)&lt;ROW(M276)))+1</f>
        <v>181</v>
      </c>
      <c r="O276" s="248" t="str">
        <f aca="false">IF(M276&gt;=0.13,"★★★ EXCELLENT",IF(M276&gt;=0.12,"★★  GOOD",IF(M276&gt;=0.07,"★  FAIR",IF(M276&gt;=0.025,"⚠  MARGINAL","✗  AVOID"))))</f>
        <v>⚠  MARGINAL</v>
      </c>
    </row>
    <row r="277" customFormat="false" ht="15" hidden="false" customHeight="true" outlineLevel="0" collapsed="false">
      <c r="A277" s="245" t="n">
        <v>32</v>
      </c>
      <c r="B277" s="246"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46"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46"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46"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46"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46"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46"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46"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46"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46"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46"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46" t="n">
        <f aca="false">MIN(B277:L277)</f>
        <v>0.0719298245614035</v>
      </c>
      <c r="N277" s="246" t="n">
        <f aca="false">SUMPRODUCT(($M$7:$M$557&gt;M277)*1)+SUMPRODUCT(($M$7:$M$557=M277)*(ROW($M$7:$M$557)&lt;ROW(M277)))+1</f>
        <v>167</v>
      </c>
      <c r="O277" s="246" t="str">
        <f aca="false">IF(M277&gt;=0.13,"★★★ EXCELLENT",IF(M277&gt;=0.12,"★★  GOOD",IF(M277&gt;=0.07,"★  FAIR",IF(M277&gt;=0.025,"⚠  MARGINAL","✗  AVOID"))))</f>
        <v>★  FAIR</v>
      </c>
    </row>
    <row r="278" customFormat="false" ht="15" hidden="false" customHeight="true" outlineLevel="0" collapsed="false">
      <c r="A278" s="247" t="n">
        <v>32.1</v>
      </c>
      <c r="B278" s="248"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48"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48"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48"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48"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48"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48"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48"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48"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48"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48"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48" t="n">
        <f aca="false">MIN(B278:L278)</f>
        <v>0.076842105263158</v>
      </c>
      <c r="N278" s="248" t="n">
        <f aca="false">SUMPRODUCT(($M$7:$M$557&gt;M278)*1)+SUMPRODUCT(($M$7:$M$557=M278)*(ROW($M$7:$M$557)&lt;ROW(M278)))+1</f>
        <v>152</v>
      </c>
      <c r="O278" s="248" t="str">
        <f aca="false">IF(M278&gt;=0.13,"★★★ EXCELLENT",IF(M278&gt;=0.12,"★★  GOOD",IF(M278&gt;=0.07,"★  FAIR",IF(M278&gt;=0.025,"⚠  MARGINAL","✗  AVOID"))))</f>
        <v>★  FAIR</v>
      </c>
    </row>
    <row r="279" customFormat="false" ht="15" hidden="false" customHeight="true" outlineLevel="0" collapsed="false">
      <c r="A279" s="245" t="n">
        <v>32.2</v>
      </c>
      <c r="B279" s="246"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46"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46"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46"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46"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46"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46"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46"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46"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46"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46"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46" t="n">
        <f aca="false">MIN(B279:L279)</f>
        <v>0.0817543859649126</v>
      </c>
      <c r="N279" s="246" t="n">
        <f aca="false">SUMPRODUCT(($M$7:$M$557&gt;M279)*1)+SUMPRODUCT(($M$7:$M$557=M279)*(ROW($M$7:$M$557)&lt;ROW(M279)))+1</f>
        <v>138</v>
      </c>
      <c r="O279" s="246" t="str">
        <f aca="false">IF(M279&gt;=0.13,"★★★ EXCELLENT",IF(M279&gt;=0.12,"★★  GOOD",IF(M279&gt;=0.07,"★  FAIR",IF(M279&gt;=0.025,"⚠  MARGINAL","✗  AVOID"))))</f>
        <v>★  FAIR</v>
      </c>
    </row>
    <row r="280" customFormat="false" ht="15" hidden="false" customHeight="true" outlineLevel="0" collapsed="false">
      <c r="A280" s="247" t="n">
        <v>32.3</v>
      </c>
      <c r="B280" s="248"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48"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48"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48"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48"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48"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48"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48"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48"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48"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48"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48" t="n">
        <f aca="false">MIN(B280:L280)</f>
        <v>0.0866666666666665</v>
      </c>
      <c r="N280" s="248" t="n">
        <f aca="false">SUMPRODUCT(($M$7:$M$557&gt;M280)*1)+SUMPRODUCT(($M$7:$M$557=M280)*(ROW($M$7:$M$557)&lt;ROW(M280)))+1</f>
        <v>122</v>
      </c>
      <c r="O280" s="248" t="str">
        <f aca="false">IF(M280&gt;=0.13,"★★★ EXCELLENT",IF(M280&gt;=0.12,"★★  GOOD",IF(M280&gt;=0.07,"★  FAIR",IF(M280&gt;=0.025,"⚠  MARGINAL","✗  AVOID"))))</f>
        <v>★  FAIR</v>
      </c>
    </row>
    <row r="281" customFormat="false" ht="15" hidden="false" customHeight="true" outlineLevel="0" collapsed="false">
      <c r="A281" s="245" t="n">
        <v>32.4</v>
      </c>
      <c r="B281" s="246"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46"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46"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46"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46"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46"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46"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46"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46"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46"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46"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46" t="n">
        <f aca="false">MIN(B281:L281)</f>
        <v>0.091578947368421</v>
      </c>
      <c r="N281" s="246" t="n">
        <f aca="false">SUMPRODUCT(($M$7:$M$557&gt;M281)*1)+SUMPRODUCT(($M$7:$M$557=M281)*(ROW($M$7:$M$557)&lt;ROW(M281)))+1</f>
        <v>110</v>
      </c>
      <c r="O281" s="246" t="str">
        <f aca="false">IF(M281&gt;=0.13,"★★★ EXCELLENT",IF(M281&gt;=0.12,"★★  GOOD",IF(M281&gt;=0.07,"★  FAIR",IF(M281&gt;=0.025,"⚠  MARGINAL","✗  AVOID"))))</f>
        <v>★  FAIR</v>
      </c>
    </row>
    <row r="282" customFormat="false" ht="15" hidden="false" customHeight="true" outlineLevel="0" collapsed="false">
      <c r="A282" s="247" t="n">
        <v>32.5</v>
      </c>
      <c r="B282" s="248"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48"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48"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48"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48"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48"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48"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48"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48"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48"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48"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48" t="n">
        <f aca="false">MIN(B282:L282)</f>
        <v>0.0964912280701755</v>
      </c>
      <c r="N282" s="248" t="n">
        <f aca="false">SUMPRODUCT(($M$7:$M$557&gt;M282)*1)+SUMPRODUCT(($M$7:$M$557=M282)*(ROW($M$7:$M$557)&lt;ROW(M282)))+1</f>
        <v>95</v>
      </c>
      <c r="O282" s="248" t="str">
        <f aca="false">IF(M282&gt;=0.13,"★★★ EXCELLENT",IF(M282&gt;=0.12,"★★  GOOD",IF(M282&gt;=0.07,"★  FAIR",IF(M282&gt;=0.025,"⚠  MARGINAL","✗  AVOID"))))</f>
        <v>★  FAIR</v>
      </c>
    </row>
    <row r="283" customFormat="false" ht="15" hidden="false" customHeight="true" outlineLevel="0" collapsed="false">
      <c r="A283" s="245" t="n">
        <v>32.6</v>
      </c>
      <c r="B283" s="246"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46"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46"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46"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46"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46"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46"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46"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46"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46"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46"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46" t="n">
        <f aca="false">MIN(B283:L283)</f>
        <v>0.10140350877193</v>
      </c>
      <c r="N283" s="246" t="n">
        <f aca="false">SUMPRODUCT(($M$7:$M$557&gt;M283)*1)+SUMPRODUCT(($M$7:$M$557=M283)*(ROW($M$7:$M$557)&lt;ROW(M283)))+1</f>
        <v>84</v>
      </c>
      <c r="O283" s="246" t="str">
        <f aca="false">IF(M283&gt;=0.13,"★★★ EXCELLENT",IF(M283&gt;=0.12,"★★  GOOD",IF(M283&gt;=0.07,"★  FAIR",IF(M283&gt;=0.025,"⚠  MARGINAL","✗  AVOID"))))</f>
        <v>★  FAIR</v>
      </c>
    </row>
    <row r="284" customFormat="false" ht="15" hidden="false" customHeight="true" outlineLevel="0" collapsed="false">
      <c r="A284" s="247" t="n">
        <v>32.7</v>
      </c>
      <c r="B284" s="248"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48"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48"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48"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48"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48"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48"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48"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48"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48"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48"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48" t="n">
        <f aca="false">MIN(B284:L284)</f>
        <v>0.106315789473684</v>
      </c>
      <c r="N284" s="248" t="n">
        <f aca="false">SUMPRODUCT(($M$7:$M$557&gt;M284)*1)+SUMPRODUCT(($M$7:$M$557=M284)*(ROW($M$7:$M$557)&lt;ROW(M284)))+1</f>
        <v>71</v>
      </c>
      <c r="O284" s="248" t="str">
        <f aca="false">IF(M284&gt;=0.13,"★★★ EXCELLENT",IF(M284&gt;=0.12,"★★  GOOD",IF(M284&gt;=0.07,"★  FAIR",IF(M284&gt;=0.025,"⚠  MARGINAL","✗  AVOID"))))</f>
        <v>★  FAIR</v>
      </c>
    </row>
    <row r="285" customFormat="false" ht="15" hidden="false" customHeight="true" outlineLevel="0" collapsed="false">
      <c r="A285" s="245" t="n">
        <v>32.8</v>
      </c>
      <c r="B285" s="246"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46"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46"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46"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46"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46"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46"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46"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46"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46"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46"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46" t="n">
        <f aca="false">MIN(B285:L285)</f>
        <v>0.111228070175438</v>
      </c>
      <c r="N285" s="246" t="n">
        <f aca="false">SUMPRODUCT(($M$7:$M$557&gt;M285)*1)+SUMPRODUCT(($M$7:$M$557=M285)*(ROW($M$7:$M$557)&lt;ROW(M285)))+1</f>
        <v>60</v>
      </c>
      <c r="O285" s="246" t="str">
        <f aca="false">IF(M285&gt;=0.13,"★★★ EXCELLENT",IF(M285&gt;=0.12,"★★  GOOD",IF(M285&gt;=0.07,"★  FAIR",IF(M285&gt;=0.025,"⚠  MARGINAL","✗  AVOID"))))</f>
        <v>★  FAIR</v>
      </c>
    </row>
    <row r="286" customFormat="false" ht="15" hidden="false" customHeight="true" outlineLevel="0" collapsed="false">
      <c r="A286" s="247" t="n">
        <v>32.9</v>
      </c>
      <c r="B286" s="248"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48"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48"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48"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48"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48"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48"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48"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48"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48"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48"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48" t="n">
        <f aca="false">MIN(B286:L286)</f>
        <v>0.116140350877193</v>
      </c>
      <c r="N286" s="248" t="n">
        <f aca="false">SUMPRODUCT(($M$7:$M$557&gt;M286)*1)+SUMPRODUCT(($M$7:$M$557=M286)*(ROW($M$7:$M$557)&lt;ROW(M286)))+1</f>
        <v>48</v>
      </c>
      <c r="O286" s="248" t="str">
        <f aca="false">IF(M286&gt;=0.13,"★★★ EXCELLENT",IF(M286&gt;=0.12,"★★  GOOD",IF(M286&gt;=0.07,"★  FAIR",IF(M286&gt;=0.025,"⚠  MARGINAL","✗  AVOID"))))</f>
        <v>★  FAIR</v>
      </c>
    </row>
    <row r="287" customFormat="false" ht="15" hidden="false" customHeight="true" outlineLevel="0" collapsed="false">
      <c r="A287" s="245" t="n">
        <v>33</v>
      </c>
      <c r="B287" s="246"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46"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46"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46"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46"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46"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46"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46"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46"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46"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46"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46" t="n">
        <f aca="false">MIN(B287:L287)</f>
        <v>0.121052631578947</v>
      </c>
      <c r="N287" s="246" t="n">
        <f aca="false">SUMPRODUCT(($M$7:$M$557&gt;M287)*1)+SUMPRODUCT(($M$7:$M$557=M287)*(ROW($M$7:$M$557)&lt;ROW(M287)))+1</f>
        <v>38</v>
      </c>
      <c r="O287" s="246" t="str">
        <f aca="false">IF(M287&gt;=0.13,"★★★ EXCELLENT",IF(M287&gt;=0.12,"★★  GOOD",IF(M287&gt;=0.07,"★  FAIR",IF(M287&gt;=0.025,"⚠  MARGINAL","✗  AVOID"))))</f>
        <v>★★  GOOD</v>
      </c>
    </row>
    <row r="288" customFormat="false" ht="15" hidden="false" customHeight="true" outlineLevel="0" collapsed="false">
      <c r="A288" s="247" t="n">
        <v>33.1</v>
      </c>
      <c r="B288" s="248"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48"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48"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48"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48"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48"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48"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48"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48"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48"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48"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48" t="n">
        <f aca="false">MIN(B288:L288)</f>
        <v>0.125964912280702</v>
      </c>
      <c r="N288" s="248" t="n">
        <f aca="false">SUMPRODUCT(($M$7:$M$557&gt;M288)*1)+SUMPRODUCT(($M$7:$M$557=M288)*(ROW($M$7:$M$557)&lt;ROW(M288)))+1</f>
        <v>28</v>
      </c>
      <c r="O288" s="248" t="str">
        <f aca="false">IF(M288&gt;=0.13,"★★★ EXCELLENT",IF(M288&gt;=0.12,"★★  GOOD",IF(M288&gt;=0.07,"★  FAIR",IF(M288&gt;=0.025,"⚠  MARGINAL","✗  AVOID"))))</f>
        <v>★★  GOOD</v>
      </c>
    </row>
    <row r="289" customFormat="false" ht="15" hidden="false" customHeight="true" outlineLevel="0" collapsed="false">
      <c r="A289" s="245" t="n">
        <v>33.2</v>
      </c>
      <c r="B289" s="246"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46"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46"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46"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46"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46"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46"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46"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46"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46"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46"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46" t="n">
        <f aca="false">MIN(B289:L289)</f>
        <v>0.130877192982456</v>
      </c>
      <c r="N289" s="246" t="n">
        <f aca="false">SUMPRODUCT(($M$7:$M$557&gt;M289)*1)+SUMPRODUCT(($M$7:$M$557=M289)*(ROW($M$7:$M$557)&lt;ROW(M289)))+1</f>
        <v>19</v>
      </c>
      <c r="O289" s="246" t="str">
        <f aca="false">IF(M289&gt;=0.13,"★★★ EXCELLENT",IF(M289&gt;=0.12,"★★  GOOD",IF(M289&gt;=0.07,"★  FAIR",IF(M289&gt;=0.025,"⚠  MARGINAL","✗  AVOID"))))</f>
        <v>★★★ EXCELLENT</v>
      </c>
    </row>
    <row r="290" customFormat="false" ht="15" hidden="false" customHeight="true" outlineLevel="0" collapsed="false">
      <c r="A290" s="247" t="n">
        <v>33.3</v>
      </c>
      <c r="B290" s="248"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48"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48"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48"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48"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48"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48"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48"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48"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48"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48"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48" t="n">
        <f aca="false">MIN(B290:L290)</f>
        <v>0.13578947368421</v>
      </c>
      <c r="N290" s="248" t="n">
        <f aca="false">SUMPRODUCT(($M$7:$M$557&gt;M290)*1)+SUMPRODUCT(($M$7:$M$557=M290)*(ROW($M$7:$M$557)&lt;ROW(M290)))+1</f>
        <v>13</v>
      </c>
      <c r="O290" s="248" t="str">
        <f aca="false">IF(M290&gt;=0.13,"★★★ EXCELLENT",IF(M290&gt;=0.12,"★★  GOOD",IF(M290&gt;=0.07,"★  FAIR",IF(M290&gt;=0.025,"⚠  MARGINAL","✗  AVOID"))))</f>
        <v>★★★ EXCELLENT</v>
      </c>
    </row>
    <row r="291" customFormat="false" ht="15" hidden="false" customHeight="true" outlineLevel="0" collapsed="false">
      <c r="A291" s="245" t="n">
        <v>33.4</v>
      </c>
      <c r="B291" s="246"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46"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46"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46"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46"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46"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46"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46"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46"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46"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46"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46" t="n">
        <f aca="false">MIN(B291:L291)</f>
        <v>0.136561403508772</v>
      </c>
      <c r="N291" s="246" t="n">
        <f aca="false">SUMPRODUCT(($M$7:$M$557&gt;M291)*1)+SUMPRODUCT(($M$7:$M$557=M291)*(ROW($M$7:$M$557)&lt;ROW(M291)))+1</f>
        <v>12</v>
      </c>
      <c r="O291" s="246" t="str">
        <f aca="false">IF(M291&gt;=0.13,"★★★ EXCELLENT",IF(M291&gt;=0.12,"★★  GOOD",IF(M291&gt;=0.07,"★  FAIR",IF(M291&gt;=0.025,"⚠  MARGINAL","✗  AVOID"))))</f>
        <v>★★★ EXCELLENT</v>
      </c>
    </row>
    <row r="292" customFormat="false" ht="15" hidden="false" customHeight="true" outlineLevel="0" collapsed="false">
      <c r="A292" s="247" t="n">
        <v>33.5</v>
      </c>
      <c r="B292" s="248"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48"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48"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48"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48"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48"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48"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48"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48"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48"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48"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48" t="n">
        <f aca="false">MIN(B292:L292)</f>
        <v>0.126491228070176</v>
      </c>
      <c r="N292" s="248" t="n">
        <f aca="false">SUMPRODUCT(($M$7:$M$557&gt;M292)*1)+SUMPRODUCT(($M$7:$M$557=M292)*(ROW($M$7:$M$557)&lt;ROW(M292)))+1</f>
        <v>27</v>
      </c>
      <c r="O292" s="248" t="str">
        <f aca="false">IF(M292&gt;=0.13,"★★★ EXCELLENT",IF(M292&gt;=0.12,"★★  GOOD",IF(M292&gt;=0.07,"★  FAIR",IF(M292&gt;=0.025,"⚠  MARGINAL","✗  AVOID"))))</f>
        <v>★★  GOOD</v>
      </c>
    </row>
    <row r="293" customFormat="false" ht="15" hidden="false" customHeight="true" outlineLevel="0" collapsed="false">
      <c r="A293" s="245" t="n">
        <v>33.6</v>
      </c>
      <c r="B293" s="246"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46"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46"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46"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46"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46"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46"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46"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46"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46"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46"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46" t="n">
        <f aca="false">MIN(B293:L293)</f>
        <v>0.116421052631579</v>
      </c>
      <c r="N293" s="246" t="n">
        <f aca="false">SUMPRODUCT(($M$7:$M$557&gt;M293)*1)+SUMPRODUCT(($M$7:$M$557=M293)*(ROW($M$7:$M$557)&lt;ROW(M293)))+1</f>
        <v>47</v>
      </c>
      <c r="O293" s="246" t="str">
        <f aca="false">IF(M293&gt;=0.13,"★★★ EXCELLENT",IF(M293&gt;=0.12,"★★  GOOD",IF(M293&gt;=0.07,"★  FAIR",IF(M293&gt;=0.025,"⚠  MARGINAL","✗  AVOID"))))</f>
        <v>★  FAIR</v>
      </c>
    </row>
    <row r="294" customFormat="false" ht="15" hidden="false" customHeight="true" outlineLevel="0" collapsed="false">
      <c r="A294" s="247" t="n">
        <v>33.7</v>
      </c>
      <c r="B294" s="248"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48"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48"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48"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48"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48"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48"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48"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48"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48"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48"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48" t="n">
        <f aca="false">MIN(B294:L294)</f>
        <v>0.106350877192982</v>
      </c>
      <c r="N294" s="248" t="n">
        <f aca="false">SUMPRODUCT(($M$7:$M$557&gt;M294)*1)+SUMPRODUCT(($M$7:$M$557=M294)*(ROW($M$7:$M$557)&lt;ROW(M294)))+1</f>
        <v>70</v>
      </c>
      <c r="O294" s="248" t="str">
        <f aca="false">IF(M294&gt;=0.13,"★★★ EXCELLENT",IF(M294&gt;=0.12,"★★  GOOD",IF(M294&gt;=0.07,"★  FAIR",IF(M294&gt;=0.025,"⚠  MARGINAL","✗  AVOID"))))</f>
        <v>★  FAIR</v>
      </c>
    </row>
    <row r="295" customFormat="false" ht="15" hidden="false" customHeight="true" outlineLevel="0" collapsed="false">
      <c r="A295" s="245" t="n">
        <v>33.8</v>
      </c>
      <c r="B295" s="246"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46"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46"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46"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46"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46"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46"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46"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46"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46"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46"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46" t="n">
        <f aca="false">MIN(B295:L295)</f>
        <v>0.0962807017543863</v>
      </c>
      <c r="N295" s="246" t="n">
        <f aca="false">SUMPRODUCT(($M$7:$M$557&gt;M295)*1)+SUMPRODUCT(($M$7:$M$557=M295)*(ROW($M$7:$M$557)&lt;ROW(M295)))+1</f>
        <v>97</v>
      </c>
      <c r="O295" s="246" t="str">
        <f aca="false">IF(M295&gt;=0.13,"★★★ EXCELLENT",IF(M295&gt;=0.12,"★★  GOOD",IF(M295&gt;=0.07,"★  FAIR",IF(M295&gt;=0.025,"⚠  MARGINAL","✗  AVOID"))))</f>
        <v>★  FAIR</v>
      </c>
    </row>
    <row r="296" customFormat="false" ht="15" hidden="false" customHeight="true" outlineLevel="0" collapsed="false">
      <c r="A296" s="247" t="n">
        <v>33.9</v>
      </c>
      <c r="B296" s="248"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48"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48"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48"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48"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48"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48"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48"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48"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48"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48"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48" t="n">
        <f aca="false">MIN(B296:L296)</f>
        <v>0.0862105263157895</v>
      </c>
      <c r="N296" s="248" t="n">
        <f aca="false">SUMPRODUCT(($M$7:$M$557&gt;M296)*1)+SUMPRODUCT(($M$7:$M$557=M296)*(ROW($M$7:$M$557)&lt;ROW(M296)))+1</f>
        <v>123</v>
      </c>
      <c r="O296" s="248" t="str">
        <f aca="false">IF(M296&gt;=0.13,"★★★ EXCELLENT",IF(M296&gt;=0.12,"★★  GOOD",IF(M296&gt;=0.07,"★  FAIR",IF(M296&gt;=0.025,"⚠  MARGINAL","✗  AVOID"))))</f>
        <v>★  FAIR</v>
      </c>
    </row>
    <row r="297" customFormat="false" ht="15" hidden="false" customHeight="true" outlineLevel="0" collapsed="false">
      <c r="A297" s="245" t="n">
        <v>34</v>
      </c>
      <c r="B297" s="246"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46"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46"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46"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46"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46"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46"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46"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46"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46"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46"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46" t="n">
        <f aca="false">MIN(B297:L297)</f>
        <v>0.0761403508771932</v>
      </c>
      <c r="N297" s="246" t="n">
        <f aca="false">SUMPRODUCT(($M$7:$M$557&gt;M297)*1)+SUMPRODUCT(($M$7:$M$557=M297)*(ROW($M$7:$M$557)&lt;ROW(M297)))+1</f>
        <v>153</v>
      </c>
      <c r="O297" s="246" t="str">
        <f aca="false">IF(M297&gt;=0.13,"★★★ EXCELLENT",IF(M297&gt;=0.12,"★★  GOOD",IF(M297&gt;=0.07,"★  FAIR",IF(M297&gt;=0.025,"⚠  MARGINAL","✗  AVOID"))))</f>
        <v>★  FAIR</v>
      </c>
    </row>
    <row r="298" customFormat="false" ht="15" hidden="false" customHeight="true" outlineLevel="0" collapsed="false">
      <c r="A298" s="247" t="n">
        <v>34.1</v>
      </c>
      <c r="B298" s="248"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48"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48"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48"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48"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48"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48"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48"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48"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48"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48"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48" t="n">
        <f aca="false">MIN(B298:L298)</f>
        <v>0.0660701754385964</v>
      </c>
      <c r="N298" s="248" t="n">
        <f aca="false">SUMPRODUCT(($M$7:$M$557&gt;M298)*1)+SUMPRODUCT(($M$7:$M$557=M298)*(ROW($M$7:$M$557)&lt;ROW(M298)))+1</f>
        <v>184</v>
      </c>
      <c r="O298" s="248" t="str">
        <f aca="false">IF(M298&gt;=0.13,"★★★ EXCELLENT",IF(M298&gt;=0.12,"★★  GOOD",IF(M298&gt;=0.07,"★  FAIR",IF(M298&gt;=0.025,"⚠  MARGINAL","✗  AVOID"))))</f>
        <v>⚠  MARGINAL</v>
      </c>
    </row>
    <row r="299" customFormat="false" ht="15" hidden="false" customHeight="true" outlineLevel="0" collapsed="false">
      <c r="A299" s="245" t="n">
        <v>34.2</v>
      </c>
      <c r="B299" s="246"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46"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46"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46"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46"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46"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46"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46"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46"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46"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46"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46" t="n">
        <f aca="false">MIN(B299:L299)</f>
        <v>0.0559999999999996</v>
      </c>
      <c r="N299" s="246" t="n">
        <f aca="false">SUMPRODUCT(($M$7:$M$557&gt;M299)*1)+SUMPRODUCT(($M$7:$M$557=M299)*(ROW($M$7:$M$557)&lt;ROW(M299)))+1</f>
        <v>215</v>
      </c>
      <c r="O299" s="246" t="str">
        <f aca="false">IF(M299&gt;=0.13,"★★★ EXCELLENT",IF(M299&gt;=0.12,"★★  GOOD",IF(M299&gt;=0.07,"★  FAIR",IF(M299&gt;=0.025,"⚠  MARGINAL","✗  AVOID"))))</f>
        <v>⚠  MARGINAL</v>
      </c>
    </row>
    <row r="300" customFormat="false" ht="15" hidden="false" customHeight="true" outlineLevel="0" collapsed="false">
      <c r="A300" s="247" t="n">
        <v>34.3</v>
      </c>
      <c r="B300" s="248"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48"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48"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48"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48"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48"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48"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48"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48"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48"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48"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48" t="n">
        <f aca="false">MIN(B300:L300)</f>
        <v>0.0459298245614042</v>
      </c>
      <c r="N300" s="248" t="n">
        <f aca="false">SUMPRODUCT(($M$7:$M$557&gt;M300)*1)+SUMPRODUCT(($M$7:$M$557=M300)*(ROW($M$7:$M$557)&lt;ROW(M300)))+1</f>
        <v>245</v>
      </c>
      <c r="O300" s="248" t="str">
        <f aca="false">IF(M300&gt;=0.13,"★★★ EXCELLENT",IF(M300&gt;=0.12,"★★  GOOD",IF(M300&gt;=0.07,"★  FAIR",IF(M300&gt;=0.025,"⚠  MARGINAL","✗  AVOID"))))</f>
        <v>⚠  MARGINAL</v>
      </c>
    </row>
    <row r="301" customFormat="false" ht="15" hidden="false" customHeight="true" outlineLevel="0" collapsed="false">
      <c r="A301" s="245" t="n">
        <v>34.4</v>
      </c>
      <c r="B301" s="246"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46"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46"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46"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46"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46"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46"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46"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46"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46"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46"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46" t="n">
        <f aca="false">MIN(B301:L301)</f>
        <v>0.0358596491228069</v>
      </c>
      <c r="N301" s="246" t="n">
        <f aca="false">SUMPRODUCT(($M$7:$M$557&gt;M301)*1)+SUMPRODUCT(($M$7:$M$557=M301)*(ROW($M$7:$M$557)&lt;ROW(M301)))+1</f>
        <v>275</v>
      </c>
      <c r="O301" s="246" t="str">
        <f aca="false">IF(M301&gt;=0.13,"★★★ EXCELLENT",IF(M301&gt;=0.12,"★★  GOOD",IF(M301&gt;=0.07,"★  FAIR",IF(M301&gt;=0.025,"⚠  MARGINAL","✗  AVOID"))))</f>
        <v>⚠  MARGINAL</v>
      </c>
    </row>
    <row r="302" customFormat="false" ht="15" hidden="false" customHeight="true" outlineLevel="0" collapsed="false">
      <c r="A302" s="247" t="n">
        <v>34.5</v>
      </c>
      <c r="B302" s="248"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48"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48"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48"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48"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48"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48"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48"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48"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48"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48"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48" t="n">
        <f aca="false">MIN(B302:L302)</f>
        <v>0.0257894736842106</v>
      </c>
      <c r="N302" s="248" t="n">
        <f aca="false">SUMPRODUCT(($M$7:$M$557&gt;M302)*1)+SUMPRODUCT(($M$7:$M$557=M302)*(ROW($M$7:$M$557)&lt;ROW(M302)))+1</f>
        <v>304</v>
      </c>
      <c r="O302" s="248" t="str">
        <f aca="false">IF(M302&gt;=0.13,"★★★ EXCELLENT",IF(M302&gt;=0.12,"★★  GOOD",IF(M302&gt;=0.07,"★  FAIR",IF(M302&gt;=0.025,"⚠  MARGINAL","✗  AVOID"))))</f>
        <v>⚠  MARGINAL</v>
      </c>
    </row>
    <row r="303" customFormat="false" ht="15" hidden="false" customHeight="true" outlineLevel="0" collapsed="false">
      <c r="A303" s="245" t="n">
        <v>34.6</v>
      </c>
      <c r="B303" s="246"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46"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46"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46"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46"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46"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46"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46"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46"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46"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46"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46" t="n">
        <f aca="false">MIN(B303:L303)</f>
        <v>0.0157192982456142</v>
      </c>
      <c r="N303" s="246" t="n">
        <f aca="false">SUMPRODUCT(($M$7:$M$557&gt;M303)*1)+SUMPRODUCT(($M$7:$M$557=M303)*(ROW($M$7:$M$557)&lt;ROW(M303)))+1</f>
        <v>335</v>
      </c>
      <c r="O303" s="246" t="str">
        <f aca="false">IF(M303&gt;=0.13,"★★★ EXCELLENT",IF(M303&gt;=0.12,"★★  GOOD",IF(M303&gt;=0.07,"★  FAIR",IF(M303&gt;=0.025,"⚠  MARGINAL","✗  AVOID"))))</f>
        <v>✗  AVOID</v>
      </c>
    </row>
    <row r="304" customFormat="false" ht="15" hidden="false" customHeight="true" outlineLevel="0" collapsed="false">
      <c r="A304" s="247" t="n">
        <v>34.7</v>
      </c>
      <c r="B304" s="248"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48"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48"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48"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48"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48"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48"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48"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48"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48"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48"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48" t="n">
        <f aca="false">MIN(B304:L304)</f>
        <v>0.00564912280701702</v>
      </c>
      <c r="N304" s="248" t="n">
        <f aca="false">SUMPRODUCT(($M$7:$M$557&gt;M304)*1)+SUMPRODUCT(($M$7:$M$557=M304)*(ROW($M$7:$M$557)&lt;ROW(M304)))+1</f>
        <v>365</v>
      </c>
      <c r="O304" s="248" t="str">
        <f aca="false">IF(M304&gt;=0.13,"★★★ EXCELLENT",IF(M304&gt;=0.12,"★★  GOOD",IF(M304&gt;=0.07,"★  FAIR",IF(M304&gt;=0.025,"⚠  MARGINAL","✗  AVOID"))))</f>
        <v>✗  AVOID</v>
      </c>
    </row>
    <row r="305" customFormat="false" ht="15" hidden="false" customHeight="true" outlineLevel="0" collapsed="false">
      <c r="A305" s="245" t="n">
        <v>34.8</v>
      </c>
      <c r="B305" s="246"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46"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46"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46"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46"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46"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46"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46"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46"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46"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46"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46" t="n">
        <f aca="false">MIN(B305:L305)</f>
        <v>0</v>
      </c>
      <c r="N305" s="246" t="n">
        <f aca="false">SUMPRODUCT(($M$7:$M$557&gt;M305)*1)+SUMPRODUCT(($M$7:$M$557=M305)*(ROW($M$7:$M$557)&lt;ROW(M305)))+1</f>
        <v>466</v>
      </c>
      <c r="O305" s="246" t="str">
        <f aca="false">IF(M305&gt;=0.13,"★★★ EXCELLENT",IF(M305&gt;=0.12,"★★  GOOD",IF(M305&gt;=0.07,"★  FAIR",IF(M305&gt;=0.025,"⚠  MARGINAL","✗  AVOID"))))</f>
        <v>✗  AVOID</v>
      </c>
    </row>
    <row r="306" customFormat="false" ht="15" hidden="false" customHeight="true" outlineLevel="0" collapsed="false">
      <c r="A306" s="247" t="n">
        <v>34.9</v>
      </c>
      <c r="B306" s="248"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48"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48"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48"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48"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48"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48"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48"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48"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48"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48"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48" t="n">
        <f aca="false">MIN(B306:L306)</f>
        <v>0</v>
      </c>
      <c r="N306" s="248" t="n">
        <f aca="false">SUMPRODUCT(($M$7:$M$557&gt;M306)*1)+SUMPRODUCT(($M$7:$M$557=M306)*(ROW($M$7:$M$557)&lt;ROW(M306)))+1</f>
        <v>467</v>
      </c>
      <c r="O306" s="248" t="str">
        <f aca="false">IF(M306&gt;=0.13,"★★★ EXCELLENT",IF(M306&gt;=0.12,"★★  GOOD",IF(M306&gt;=0.07,"★  FAIR",IF(M306&gt;=0.025,"⚠  MARGINAL","✗  AVOID"))))</f>
        <v>✗  AVOID</v>
      </c>
    </row>
    <row r="307" customFormat="false" ht="15" hidden="false" customHeight="true" outlineLevel="0" collapsed="false">
      <c r="A307" s="245" t="n">
        <v>35</v>
      </c>
      <c r="B307" s="246"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46"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46"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46"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46"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46"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46"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46"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46"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46"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46"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46" t="n">
        <f aca="false">MIN(B307:L307)</f>
        <v>0</v>
      </c>
      <c r="N307" s="246" t="n">
        <f aca="false">SUMPRODUCT(($M$7:$M$557&gt;M307)*1)+SUMPRODUCT(($M$7:$M$557=M307)*(ROW($M$7:$M$557)&lt;ROW(M307)))+1</f>
        <v>468</v>
      </c>
      <c r="O307" s="246" t="str">
        <f aca="false">IF(M307&gt;=0.13,"★★★ EXCELLENT",IF(M307&gt;=0.12,"★★  GOOD",IF(M307&gt;=0.07,"★  FAIR",IF(M307&gt;=0.025,"⚠  MARGINAL","✗  AVOID"))))</f>
        <v>✗  AVOID</v>
      </c>
    </row>
    <row r="308" customFormat="false" ht="15" hidden="false" customHeight="true" outlineLevel="0" collapsed="false">
      <c r="A308" s="247" t="n">
        <v>35.1</v>
      </c>
      <c r="B308" s="248"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48"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48"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48"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48"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48"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48"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48"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48"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48"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48"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48" t="n">
        <f aca="false">MIN(B308:L308)</f>
        <v>0</v>
      </c>
      <c r="N308" s="248" t="n">
        <f aca="false">SUMPRODUCT(($M$7:$M$557&gt;M308)*1)+SUMPRODUCT(($M$7:$M$557=M308)*(ROW($M$7:$M$557)&lt;ROW(M308)))+1</f>
        <v>469</v>
      </c>
      <c r="O308" s="248" t="str">
        <f aca="false">IF(M308&gt;=0.13,"★★★ EXCELLENT",IF(M308&gt;=0.12,"★★  GOOD",IF(M308&gt;=0.07,"★  FAIR",IF(M308&gt;=0.025,"⚠  MARGINAL","✗  AVOID"))))</f>
        <v>✗  AVOID</v>
      </c>
    </row>
    <row r="309" customFormat="false" ht="15" hidden="false" customHeight="true" outlineLevel="0" collapsed="false">
      <c r="A309" s="245" t="n">
        <v>35.2</v>
      </c>
      <c r="B309" s="246"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46"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46"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46"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46"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46"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46"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46"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46"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46"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46"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46" t="n">
        <f aca="false">MIN(B309:L309)</f>
        <v>0</v>
      </c>
      <c r="N309" s="246" t="n">
        <f aca="false">SUMPRODUCT(($M$7:$M$557&gt;M309)*1)+SUMPRODUCT(($M$7:$M$557=M309)*(ROW($M$7:$M$557)&lt;ROW(M309)))+1</f>
        <v>470</v>
      </c>
      <c r="O309" s="246" t="str">
        <f aca="false">IF(M309&gt;=0.13,"★★★ EXCELLENT",IF(M309&gt;=0.12,"★★  GOOD",IF(M309&gt;=0.07,"★  FAIR",IF(M309&gt;=0.025,"⚠  MARGINAL","✗  AVOID"))))</f>
        <v>✗  AVOID</v>
      </c>
    </row>
    <row r="310" customFormat="false" ht="15" hidden="false" customHeight="true" outlineLevel="0" collapsed="false">
      <c r="A310" s="247" t="n">
        <v>35.3</v>
      </c>
      <c r="B310" s="248"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48"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48"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48"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48"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48"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48"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48"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48"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48"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48"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48" t="n">
        <f aca="false">MIN(B310:L310)</f>
        <v>0</v>
      </c>
      <c r="N310" s="248" t="n">
        <f aca="false">SUMPRODUCT(($M$7:$M$557&gt;M310)*1)+SUMPRODUCT(($M$7:$M$557=M310)*(ROW($M$7:$M$557)&lt;ROW(M310)))+1</f>
        <v>471</v>
      </c>
      <c r="O310" s="248" t="str">
        <f aca="false">IF(M310&gt;=0.13,"★★★ EXCELLENT",IF(M310&gt;=0.12,"★★  GOOD",IF(M310&gt;=0.07,"★  FAIR",IF(M310&gt;=0.025,"⚠  MARGINAL","✗  AVOID"))))</f>
        <v>✗  AVOID</v>
      </c>
    </row>
    <row r="311" customFormat="false" ht="15" hidden="false" customHeight="true" outlineLevel="0" collapsed="false">
      <c r="A311" s="245" t="n">
        <v>35.4</v>
      </c>
      <c r="B311" s="246"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46"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46"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46"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46"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46"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46"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46"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46"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46"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46"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46" t="n">
        <f aca="false">MIN(B311:L311)</f>
        <v>0</v>
      </c>
      <c r="N311" s="246" t="n">
        <f aca="false">SUMPRODUCT(($M$7:$M$557&gt;M311)*1)+SUMPRODUCT(($M$7:$M$557=M311)*(ROW($M$7:$M$557)&lt;ROW(M311)))+1</f>
        <v>472</v>
      </c>
      <c r="O311" s="246" t="str">
        <f aca="false">IF(M311&gt;=0.13,"★★★ EXCELLENT",IF(M311&gt;=0.12,"★★  GOOD",IF(M311&gt;=0.07,"★  FAIR",IF(M311&gt;=0.025,"⚠  MARGINAL","✗  AVOID"))))</f>
        <v>✗  AVOID</v>
      </c>
    </row>
    <row r="312" customFormat="false" ht="15" hidden="false" customHeight="true" outlineLevel="0" collapsed="false">
      <c r="A312" s="247" t="n">
        <v>35.5</v>
      </c>
      <c r="B312" s="248"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48"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48"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48"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48"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48"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48"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48"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48"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48"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48"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48" t="n">
        <f aca="false">MIN(B312:L312)</f>
        <v>0</v>
      </c>
      <c r="N312" s="248" t="n">
        <f aca="false">SUMPRODUCT(($M$7:$M$557&gt;M312)*1)+SUMPRODUCT(($M$7:$M$557=M312)*(ROW($M$7:$M$557)&lt;ROW(M312)))+1</f>
        <v>473</v>
      </c>
      <c r="O312" s="248" t="str">
        <f aca="false">IF(M312&gt;=0.13,"★★★ EXCELLENT",IF(M312&gt;=0.12,"★★  GOOD",IF(M312&gt;=0.07,"★  FAIR",IF(M312&gt;=0.025,"⚠  MARGINAL","✗  AVOID"))))</f>
        <v>✗  AVOID</v>
      </c>
    </row>
    <row r="313" customFormat="false" ht="15" hidden="false" customHeight="true" outlineLevel="0" collapsed="false">
      <c r="A313" s="245" t="n">
        <v>35.6</v>
      </c>
      <c r="B313" s="246"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46"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46"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46"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46"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46"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46"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46"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46"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46"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46"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46" t="n">
        <f aca="false">MIN(B313:L313)</f>
        <v>0</v>
      </c>
      <c r="N313" s="246" t="n">
        <f aca="false">SUMPRODUCT(($M$7:$M$557&gt;M313)*1)+SUMPRODUCT(($M$7:$M$557=M313)*(ROW($M$7:$M$557)&lt;ROW(M313)))+1</f>
        <v>474</v>
      </c>
      <c r="O313" s="246" t="str">
        <f aca="false">IF(M313&gt;=0.13,"★★★ EXCELLENT",IF(M313&gt;=0.12,"★★  GOOD",IF(M313&gt;=0.07,"★  FAIR",IF(M313&gt;=0.025,"⚠  MARGINAL","✗  AVOID"))))</f>
        <v>✗  AVOID</v>
      </c>
    </row>
    <row r="314" customFormat="false" ht="15" hidden="false" customHeight="true" outlineLevel="0" collapsed="false">
      <c r="A314" s="247" t="n">
        <v>35.7</v>
      </c>
      <c r="B314" s="248"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48"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48"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48"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48"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48"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48"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48"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48"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48"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48"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48" t="n">
        <f aca="false">MIN(B314:L314)</f>
        <v>0.00736842105263191</v>
      </c>
      <c r="N314" s="248" t="n">
        <f aca="false">SUMPRODUCT(($M$7:$M$557&gt;M314)*1)+SUMPRODUCT(($M$7:$M$557=M314)*(ROW($M$7:$M$557)&lt;ROW(M314)))+1</f>
        <v>360</v>
      </c>
      <c r="O314" s="248" t="str">
        <f aca="false">IF(M314&gt;=0.13,"★★★ EXCELLENT",IF(M314&gt;=0.12,"★★  GOOD",IF(M314&gt;=0.07,"★  FAIR",IF(M314&gt;=0.025,"⚠  MARGINAL","✗  AVOID"))))</f>
        <v>✗  AVOID</v>
      </c>
    </row>
    <row r="315" customFormat="false" ht="15" hidden="false" customHeight="true" outlineLevel="0" collapsed="false">
      <c r="A315" s="245" t="n">
        <v>35.8</v>
      </c>
      <c r="B315" s="246"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46"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46"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46"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46"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46"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46"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46"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46"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46"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46"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46" t="n">
        <f aca="false">MIN(B315:L315)</f>
        <v>0.0171929824561401</v>
      </c>
      <c r="N315" s="246" t="n">
        <f aca="false">SUMPRODUCT(($M$7:$M$557&gt;M315)*1)+SUMPRODUCT(($M$7:$M$557=M315)*(ROW($M$7:$M$557)&lt;ROW(M315)))+1</f>
        <v>331</v>
      </c>
      <c r="O315" s="246" t="str">
        <f aca="false">IF(M315&gt;=0.13,"★★★ EXCELLENT",IF(M315&gt;=0.12,"★★  GOOD",IF(M315&gt;=0.07,"★  FAIR",IF(M315&gt;=0.025,"⚠  MARGINAL","✗  AVOID"))))</f>
        <v>✗  AVOID</v>
      </c>
    </row>
    <row r="316" customFormat="false" ht="15" hidden="false" customHeight="true" outlineLevel="0" collapsed="false">
      <c r="A316" s="247" t="n">
        <v>35.9</v>
      </c>
      <c r="B316" s="248"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48"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48"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48"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48"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48"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48"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48"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48"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48"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48"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48" t="n">
        <f aca="false">MIN(B316:L316)</f>
        <v>0.0270175438596487</v>
      </c>
      <c r="N316" s="248" t="n">
        <f aca="false">SUMPRODUCT(($M$7:$M$557&gt;M316)*1)+SUMPRODUCT(($M$7:$M$557=M316)*(ROW($M$7:$M$557)&lt;ROW(M316)))+1</f>
        <v>301</v>
      </c>
      <c r="O316" s="248" t="str">
        <f aca="false">IF(M316&gt;=0.13,"★★★ EXCELLENT",IF(M316&gt;=0.12,"★★  GOOD",IF(M316&gt;=0.07,"★  FAIR",IF(M316&gt;=0.025,"⚠  MARGINAL","✗  AVOID"))))</f>
        <v>⚠  MARGINAL</v>
      </c>
    </row>
    <row r="317" customFormat="false" ht="15" hidden="false" customHeight="true" outlineLevel="0" collapsed="false">
      <c r="A317" s="245" t="n">
        <v>36</v>
      </c>
      <c r="B317" s="246"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46"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46"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46"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46"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46"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46"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46"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46"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46"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46"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46" t="n">
        <f aca="false">MIN(B317:L317)</f>
        <v>0.0368421052631578</v>
      </c>
      <c r="N317" s="246" t="n">
        <f aca="false">SUMPRODUCT(($M$7:$M$557&gt;M317)*1)+SUMPRODUCT(($M$7:$M$557=M317)*(ROW($M$7:$M$557)&lt;ROW(M317)))+1</f>
        <v>272</v>
      </c>
      <c r="O317" s="246" t="str">
        <f aca="false">IF(M317&gt;=0.13,"★★★ EXCELLENT",IF(M317&gt;=0.12,"★★  GOOD",IF(M317&gt;=0.07,"★  FAIR",IF(M317&gt;=0.025,"⚠  MARGINAL","✗  AVOID"))))</f>
        <v>⚠  MARGINAL</v>
      </c>
    </row>
    <row r="318" customFormat="false" ht="15" hidden="false" customHeight="true" outlineLevel="0" collapsed="false">
      <c r="A318" s="247" t="n">
        <v>36.1</v>
      </c>
      <c r="B318" s="248"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48"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48"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48"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48"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48"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48"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48"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48"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48"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48"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48" t="n">
        <f aca="false">MIN(B318:L318)</f>
        <v>0.0466666666666669</v>
      </c>
      <c r="N318" s="248" t="n">
        <f aca="false">SUMPRODUCT(($M$7:$M$557&gt;M318)*1)+SUMPRODUCT(($M$7:$M$557=M318)*(ROW($M$7:$M$557)&lt;ROW(M318)))+1</f>
        <v>242</v>
      </c>
      <c r="O318" s="248" t="str">
        <f aca="false">IF(M318&gt;=0.13,"★★★ EXCELLENT",IF(M318&gt;=0.12,"★★  GOOD",IF(M318&gt;=0.07,"★  FAIR",IF(M318&gt;=0.025,"⚠  MARGINAL","✗  AVOID"))))</f>
        <v>⚠  MARGINAL</v>
      </c>
    </row>
    <row r="319" customFormat="false" ht="15" hidden="false" customHeight="true" outlineLevel="0" collapsed="false">
      <c r="A319" s="245" t="n">
        <v>36.2</v>
      </c>
      <c r="B319" s="246"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46"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46"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46"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46"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46"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46"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46"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46"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46"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46"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46" t="n">
        <f aca="false">MIN(B319:L319)</f>
        <v>0.0564912280701759</v>
      </c>
      <c r="N319" s="246" t="n">
        <f aca="false">SUMPRODUCT(($M$7:$M$557&gt;M319)*1)+SUMPRODUCT(($M$7:$M$557=M319)*(ROW($M$7:$M$557)&lt;ROW(M319)))+1</f>
        <v>212</v>
      </c>
      <c r="O319" s="246" t="str">
        <f aca="false">IF(M319&gt;=0.13,"★★★ EXCELLENT",IF(M319&gt;=0.12,"★★  GOOD",IF(M319&gt;=0.07,"★  FAIR",IF(M319&gt;=0.025,"⚠  MARGINAL","✗  AVOID"))))</f>
        <v>⚠  MARGINAL</v>
      </c>
    </row>
    <row r="320" customFormat="false" ht="15" hidden="false" customHeight="true" outlineLevel="0" collapsed="false">
      <c r="A320" s="247" t="n">
        <v>36.3</v>
      </c>
      <c r="B320" s="248"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48"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48"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48"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48"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48"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48"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48"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48"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48"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48"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48" t="n">
        <f aca="false">MIN(B320:L320)</f>
        <v>0.0663157894736837</v>
      </c>
      <c r="N320" s="248" t="n">
        <f aca="false">SUMPRODUCT(($M$7:$M$557&gt;M320)*1)+SUMPRODUCT(($M$7:$M$557=M320)*(ROW($M$7:$M$557)&lt;ROW(M320)))+1</f>
        <v>183</v>
      </c>
      <c r="O320" s="248" t="str">
        <f aca="false">IF(M320&gt;=0.13,"★★★ EXCELLENT",IF(M320&gt;=0.12,"★★  GOOD",IF(M320&gt;=0.07,"★  FAIR",IF(M320&gt;=0.025,"⚠  MARGINAL","✗  AVOID"))))</f>
        <v>⚠  MARGINAL</v>
      </c>
    </row>
    <row r="321" customFormat="false" ht="15" hidden="false" customHeight="true" outlineLevel="0" collapsed="false">
      <c r="A321" s="245" t="n">
        <v>36.4</v>
      </c>
      <c r="B321" s="246"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46"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46"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46"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46"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46"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46"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46"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46"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46"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46"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46" t="n">
        <f aca="false">MIN(B321:L321)</f>
        <v>0.0761403508771927</v>
      </c>
      <c r="N321" s="246" t="n">
        <f aca="false">SUMPRODUCT(($M$7:$M$557&gt;M321)*1)+SUMPRODUCT(($M$7:$M$557=M321)*(ROW($M$7:$M$557)&lt;ROW(M321)))+1</f>
        <v>154</v>
      </c>
      <c r="O321" s="246" t="str">
        <f aca="false">IF(M321&gt;=0.13,"★★★ EXCELLENT",IF(M321&gt;=0.12,"★★  GOOD",IF(M321&gt;=0.07,"★  FAIR",IF(M321&gt;=0.025,"⚠  MARGINAL","✗  AVOID"))))</f>
        <v>★  FAIR</v>
      </c>
    </row>
    <row r="322" customFormat="false" ht="15" hidden="false" customHeight="true" outlineLevel="0" collapsed="false">
      <c r="A322" s="247" t="n">
        <v>36.5</v>
      </c>
      <c r="B322" s="248"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48"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48"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48"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48"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48"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48"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48"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48"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48"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48"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48" t="n">
        <f aca="false">MIN(B322:L322)</f>
        <v>0.0859649122807018</v>
      </c>
      <c r="N322" s="248" t="n">
        <f aca="false">SUMPRODUCT(($M$7:$M$557&gt;M322)*1)+SUMPRODUCT(($M$7:$M$557=M322)*(ROW($M$7:$M$557)&lt;ROW(M322)))+1</f>
        <v>125</v>
      </c>
      <c r="O322" s="248" t="str">
        <f aca="false">IF(M322&gt;=0.13,"★★★ EXCELLENT",IF(M322&gt;=0.12,"★★  GOOD",IF(M322&gt;=0.07,"★  FAIR",IF(M322&gt;=0.025,"⚠  MARGINAL","✗  AVOID"))))</f>
        <v>★  FAIR</v>
      </c>
    </row>
    <row r="323" customFormat="false" ht="15" hidden="false" customHeight="true" outlineLevel="0" collapsed="false">
      <c r="A323" s="245" t="n">
        <v>36.6</v>
      </c>
      <c r="B323" s="246"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46"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46"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46"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46"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46"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46"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46"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46"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46"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46"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46" t="n">
        <f aca="false">MIN(B323:L323)</f>
        <v>0.0957894736842104</v>
      </c>
      <c r="N323" s="246" t="n">
        <f aca="false">SUMPRODUCT(($M$7:$M$557&gt;M323)*1)+SUMPRODUCT(($M$7:$M$557=M323)*(ROW($M$7:$M$557)&lt;ROW(M323)))+1</f>
        <v>98</v>
      </c>
      <c r="O323" s="246" t="str">
        <f aca="false">IF(M323&gt;=0.13,"★★★ EXCELLENT",IF(M323&gt;=0.12,"★★  GOOD",IF(M323&gt;=0.07,"★  FAIR",IF(M323&gt;=0.025,"⚠  MARGINAL","✗  AVOID"))))</f>
        <v>★  FAIR</v>
      </c>
    </row>
    <row r="324" customFormat="false" ht="15" hidden="false" customHeight="true" outlineLevel="0" collapsed="false">
      <c r="A324" s="247" t="n">
        <v>36.7</v>
      </c>
      <c r="B324" s="248"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48"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48"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48"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48"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48"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48"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48"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48"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48"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48"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48" t="n">
        <f aca="false">MIN(B324:L324)</f>
        <v>0.10561403508772</v>
      </c>
      <c r="N324" s="248" t="n">
        <f aca="false">SUMPRODUCT(($M$7:$M$557&gt;M324)*1)+SUMPRODUCT(($M$7:$M$557=M324)*(ROW($M$7:$M$557)&lt;ROW(M324)))+1</f>
        <v>72</v>
      </c>
      <c r="O324" s="248" t="str">
        <f aca="false">IF(M324&gt;=0.13,"★★★ EXCELLENT",IF(M324&gt;=0.12,"★★  GOOD",IF(M324&gt;=0.07,"★  FAIR",IF(M324&gt;=0.025,"⚠  MARGINAL","✗  AVOID"))))</f>
        <v>★  FAIR</v>
      </c>
    </row>
    <row r="325" customFormat="false" ht="15" hidden="false" customHeight="true" outlineLevel="0" collapsed="false">
      <c r="A325" s="245" t="n">
        <v>36.8</v>
      </c>
      <c r="B325" s="246"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46"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46"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46"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46"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46"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46"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46"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46"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46"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46"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46" t="n">
        <f aca="false">MIN(B325:L325)</f>
        <v>0.11480701754386</v>
      </c>
      <c r="N325" s="246" t="n">
        <f aca="false">SUMPRODUCT(($M$7:$M$557&gt;M325)*1)+SUMPRODUCT(($M$7:$M$557=M325)*(ROW($M$7:$M$557)&lt;ROW(M325)))+1</f>
        <v>50</v>
      </c>
      <c r="O325" s="246" t="str">
        <f aca="false">IF(M325&gt;=0.13,"★★★ EXCELLENT",IF(M325&gt;=0.12,"★★  GOOD",IF(M325&gt;=0.07,"★  FAIR",IF(M325&gt;=0.025,"⚠  MARGINAL","✗  AVOID"))))</f>
        <v>★  FAIR</v>
      </c>
    </row>
    <row r="326" customFormat="false" ht="15" hidden="false" customHeight="true" outlineLevel="0" collapsed="false">
      <c r="A326" s="247" t="n">
        <v>36.9</v>
      </c>
      <c r="B326" s="248"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48"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48"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48"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48"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48"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48"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48"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48"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48"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48"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48" t="n">
        <f aca="false">MIN(B326:L326)</f>
        <v>0.109684210526316</v>
      </c>
      <c r="N326" s="248" t="n">
        <f aca="false">SUMPRODUCT(($M$7:$M$557&gt;M326)*1)+SUMPRODUCT(($M$7:$M$557=M326)*(ROW($M$7:$M$557)&lt;ROW(M326)))+1</f>
        <v>63</v>
      </c>
      <c r="O326" s="248" t="str">
        <f aca="false">IF(M326&gt;=0.13,"★★★ EXCELLENT",IF(M326&gt;=0.12,"★★  GOOD",IF(M326&gt;=0.07,"★  FAIR",IF(M326&gt;=0.025,"⚠  MARGINAL","✗  AVOID"))))</f>
        <v>★  FAIR</v>
      </c>
    </row>
    <row r="327" customFormat="false" ht="15" hidden="false" customHeight="true" outlineLevel="0" collapsed="false">
      <c r="A327" s="245" t="n">
        <v>37</v>
      </c>
      <c r="B327" s="246"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46"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46"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46"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46"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46"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46"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46"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46"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46"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46"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46" t="n">
        <f aca="false">MIN(B327:L327)</f>
        <v>0.104561403508772</v>
      </c>
      <c r="N327" s="246" t="n">
        <f aca="false">SUMPRODUCT(($M$7:$M$557&gt;M327)*1)+SUMPRODUCT(($M$7:$M$557=M327)*(ROW($M$7:$M$557)&lt;ROW(M327)))+1</f>
        <v>74</v>
      </c>
      <c r="O327" s="246" t="str">
        <f aca="false">IF(M327&gt;=0.13,"★★★ EXCELLENT",IF(M327&gt;=0.12,"★★  GOOD",IF(M327&gt;=0.07,"★  FAIR",IF(M327&gt;=0.025,"⚠  MARGINAL","✗  AVOID"))))</f>
        <v>★  FAIR</v>
      </c>
    </row>
    <row r="328" customFormat="false" ht="15" hidden="false" customHeight="true" outlineLevel="0" collapsed="false">
      <c r="A328" s="247" t="n">
        <v>37.1</v>
      </c>
      <c r="B328" s="248"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48"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48"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48"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48"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48"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48"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48"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48"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48"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48"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48" t="n">
        <f aca="false">MIN(B328:L328)</f>
        <v>0.0994385964912281</v>
      </c>
      <c r="N328" s="248" t="n">
        <f aca="false">SUMPRODUCT(($M$7:$M$557&gt;M328)*1)+SUMPRODUCT(($M$7:$M$557=M328)*(ROW($M$7:$M$557)&lt;ROW(M328)))+1</f>
        <v>87</v>
      </c>
      <c r="O328" s="248" t="str">
        <f aca="false">IF(M328&gt;=0.13,"★★★ EXCELLENT",IF(M328&gt;=0.12,"★★  GOOD",IF(M328&gt;=0.07,"★  FAIR",IF(M328&gt;=0.025,"⚠  MARGINAL","✗  AVOID"))))</f>
        <v>★  FAIR</v>
      </c>
    </row>
    <row r="329" customFormat="false" ht="15" hidden="false" customHeight="true" outlineLevel="0" collapsed="false">
      <c r="A329" s="245" t="n">
        <v>37.2</v>
      </c>
      <c r="B329" s="246"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46"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46"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46"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46"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46"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46"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46"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46"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46"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46"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46" t="n">
        <f aca="false">MIN(B329:L329)</f>
        <v>0.0943157894736841</v>
      </c>
      <c r="N329" s="246" t="n">
        <f aca="false">SUMPRODUCT(($M$7:$M$557&gt;M329)*1)+SUMPRODUCT(($M$7:$M$557=M329)*(ROW($M$7:$M$557)&lt;ROW(M329)))+1</f>
        <v>101</v>
      </c>
      <c r="O329" s="246" t="str">
        <f aca="false">IF(M329&gt;=0.13,"★★★ EXCELLENT",IF(M329&gt;=0.12,"★★  GOOD",IF(M329&gt;=0.07,"★  FAIR",IF(M329&gt;=0.025,"⚠  MARGINAL","✗  AVOID"))))</f>
        <v>★  FAIR</v>
      </c>
    </row>
    <row r="330" customFormat="false" ht="15" hidden="false" customHeight="true" outlineLevel="0" collapsed="false">
      <c r="A330" s="247" t="n">
        <v>37.3</v>
      </c>
      <c r="B330" s="248"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48"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48"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48"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48"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48"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48"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48"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48"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48"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48"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48" t="n">
        <f aca="false">MIN(B330:L330)</f>
        <v>0.0891929824561406</v>
      </c>
      <c r="N330" s="248" t="n">
        <f aca="false">SUMPRODUCT(($M$7:$M$557&gt;M330)*1)+SUMPRODUCT(($M$7:$M$557=M330)*(ROW($M$7:$M$557)&lt;ROW(M330)))+1</f>
        <v>116</v>
      </c>
      <c r="O330" s="248" t="str">
        <f aca="false">IF(M330&gt;=0.13,"★★★ EXCELLENT",IF(M330&gt;=0.12,"★★  GOOD",IF(M330&gt;=0.07,"★  FAIR",IF(M330&gt;=0.025,"⚠  MARGINAL","✗  AVOID"))))</f>
        <v>★  FAIR</v>
      </c>
    </row>
    <row r="331" customFormat="false" ht="15" hidden="false" customHeight="true" outlineLevel="0" collapsed="false">
      <c r="A331" s="245" t="n">
        <v>37.4</v>
      </c>
      <c r="B331" s="246"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46"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46"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46"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46"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46"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46"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46"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46"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46"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46"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46" t="n">
        <f aca="false">MIN(B331:L331)</f>
        <v>0.0840701754385966</v>
      </c>
      <c r="N331" s="246" t="n">
        <f aca="false">SUMPRODUCT(($M$7:$M$557&gt;M331)*1)+SUMPRODUCT(($M$7:$M$557=M331)*(ROW($M$7:$M$557)&lt;ROW(M331)))+1</f>
        <v>129</v>
      </c>
      <c r="O331" s="246" t="str">
        <f aca="false">IF(M331&gt;=0.13,"★★★ EXCELLENT",IF(M331&gt;=0.12,"★★  GOOD",IF(M331&gt;=0.07,"★  FAIR",IF(M331&gt;=0.025,"⚠  MARGINAL","✗  AVOID"))))</f>
        <v>★  FAIR</v>
      </c>
    </row>
    <row r="332" customFormat="false" ht="15" hidden="false" customHeight="true" outlineLevel="0" collapsed="false">
      <c r="A332" s="247" t="n">
        <v>37.5</v>
      </c>
      <c r="B332" s="248"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48"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48"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48"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48"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48"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48"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48"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48"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48"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48"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48" t="n">
        <f aca="false">MIN(B332:L332)</f>
        <v>0.0789473684210527</v>
      </c>
      <c r="N332" s="248" t="n">
        <f aca="false">SUMPRODUCT(($M$7:$M$557&gt;M332)*1)+SUMPRODUCT(($M$7:$M$557=M332)*(ROW($M$7:$M$557)&lt;ROW(M332)))+1</f>
        <v>146</v>
      </c>
      <c r="O332" s="248" t="str">
        <f aca="false">IF(M332&gt;=0.13,"★★★ EXCELLENT",IF(M332&gt;=0.12,"★★  GOOD",IF(M332&gt;=0.07,"★  FAIR",IF(M332&gt;=0.025,"⚠  MARGINAL","✗  AVOID"))))</f>
        <v>★  FAIR</v>
      </c>
    </row>
    <row r="333" customFormat="false" ht="15" hidden="false" customHeight="true" outlineLevel="0" collapsed="false">
      <c r="A333" s="245" t="n">
        <v>37.6</v>
      </c>
      <c r="B333" s="246"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46"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46"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46"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46"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46"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46"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46"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46"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46"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46"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46" t="n">
        <f aca="false">MIN(B333:L333)</f>
        <v>0.0738245614035087</v>
      </c>
      <c r="N333" s="246" t="n">
        <f aca="false">SUMPRODUCT(($M$7:$M$557&gt;M333)*1)+SUMPRODUCT(($M$7:$M$557=M333)*(ROW($M$7:$M$557)&lt;ROW(M333)))+1</f>
        <v>161</v>
      </c>
      <c r="O333" s="246" t="str">
        <f aca="false">IF(M333&gt;=0.13,"★★★ EXCELLENT",IF(M333&gt;=0.12,"★★  GOOD",IF(M333&gt;=0.07,"★  FAIR",IF(M333&gt;=0.025,"⚠  MARGINAL","✗  AVOID"))))</f>
        <v>★  FAIR</v>
      </c>
    </row>
    <row r="334" customFormat="false" ht="15" hidden="false" customHeight="true" outlineLevel="0" collapsed="false">
      <c r="A334" s="247" t="n">
        <v>37.7</v>
      </c>
      <c r="B334" s="248"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48"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48"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48"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48"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48"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48"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48"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48"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48"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48"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48" t="n">
        <f aca="false">MIN(B334:L334)</f>
        <v>0.0687017543859647</v>
      </c>
      <c r="N334" s="248" t="n">
        <f aca="false">SUMPRODUCT(($M$7:$M$557&gt;M334)*1)+SUMPRODUCT(($M$7:$M$557=M334)*(ROW($M$7:$M$557)&lt;ROW(M334)))+1</f>
        <v>177</v>
      </c>
      <c r="O334" s="248" t="str">
        <f aca="false">IF(M334&gt;=0.13,"★★★ EXCELLENT",IF(M334&gt;=0.12,"★★  GOOD",IF(M334&gt;=0.07,"★  FAIR",IF(M334&gt;=0.025,"⚠  MARGINAL","✗  AVOID"))))</f>
        <v>⚠  MARGINAL</v>
      </c>
    </row>
    <row r="335" customFormat="false" ht="15" hidden="false" customHeight="true" outlineLevel="0" collapsed="false">
      <c r="A335" s="245" t="n">
        <v>37.8</v>
      </c>
      <c r="B335" s="246"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46"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46"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46"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46"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46"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46"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46"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46"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46"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46"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46" t="n">
        <f aca="false">MIN(B335:L335)</f>
        <v>0.0635789473684212</v>
      </c>
      <c r="N335" s="246" t="n">
        <f aca="false">SUMPRODUCT(($M$7:$M$557&gt;M335)*1)+SUMPRODUCT(($M$7:$M$557=M335)*(ROW($M$7:$M$557)&lt;ROW(M335)))+1</f>
        <v>191</v>
      </c>
      <c r="O335" s="246" t="str">
        <f aca="false">IF(M335&gt;=0.13,"★★★ EXCELLENT",IF(M335&gt;=0.12,"★★  GOOD",IF(M335&gt;=0.07,"★  FAIR",IF(M335&gt;=0.025,"⚠  MARGINAL","✗  AVOID"))))</f>
        <v>⚠  MARGINAL</v>
      </c>
    </row>
    <row r="336" customFormat="false" ht="15" hidden="false" customHeight="true" outlineLevel="0" collapsed="false">
      <c r="A336" s="247" t="n">
        <v>37.9</v>
      </c>
      <c r="B336" s="248"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48"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48"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48"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48"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48"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48"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48"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48"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48"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48"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48" t="n">
        <f aca="false">MIN(B336:L336)</f>
        <v>0.0584561403508774</v>
      </c>
      <c r="N336" s="248" t="n">
        <f aca="false">SUMPRODUCT(($M$7:$M$557&gt;M336)*1)+SUMPRODUCT(($M$7:$M$557=M336)*(ROW($M$7:$M$557)&lt;ROW(M336)))+1</f>
        <v>208</v>
      </c>
      <c r="O336" s="248" t="str">
        <f aca="false">IF(M336&gt;=0.13,"★★★ EXCELLENT",IF(M336&gt;=0.12,"★★  GOOD",IF(M336&gt;=0.07,"★  FAIR",IF(M336&gt;=0.025,"⚠  MARGINAL","✗  AVOID"))))</f>
        <v>⚠  MARGINAL</v>
      </c>
    </row>
    <row r="337" customFormat="false" ht="15" hidden="false" customHeight="true" outlineLevel="0" collapsed="false">
      <c r="A337" s="245" t="n">
        <v>38</v>
      </c>
      <c r="B337" s="246"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46"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46"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46"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46"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46"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46"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46"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46"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46"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46"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46" t="n">
        <f aca="false">MIN(B337:L337)</f>
        <v>0.0533333333333335</v>
      </c>
      <c r="N337" s="246" t="n">
        <f aca="false">SUMPRODUCT(($M$7:$M$557&gt;M337)*1)+SUMPRODUCT(($M$7:$M$557=M337)*(ROW($M$7:$M$557)&lt;ROW(M337)))+1</f>
        <v>221</v>
      </c>
      <c r="O337" s="246" t="str">
        <f aca="false">IF(M337&gt;=0.13,"★★★ EXCELLENT",IF(M337&gt;=0.12,"★★  GOOD",IF(M337&gt;=0.07,"★  FAIR",IF(M337&gt;=0.025,"⚠  MARGINAL","✗  AVOID"))))</f>
        <v>⚠  MARGINAL</v>
      </c>
    </row>
    <row r="338" customFormat="false" ht="15" hidden="false" customHeight="true" outlineLevel="0" collapsed="false">
      <c r="A338" s="247" t="n">
        <v>38.1</v>
      </c>
      <c r="B338" s="248"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48"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48"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48"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48"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48"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48"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48"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48"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48"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48"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48" t="n">
        <f aca="false">MIN(B338:L338)</f>
        <v>0.0482105263157895</v>
      </c>
      <c r="N338" s="248" t="n">
        <f aca="false">SUMPRODUCT(($M$7:$M$557&gt;M338)*1)+SUMPRODUCT(($M$7:$M$557=M338)*(ROW($M$7:$M$557)&lt;ROW(M338)))+1</f>
        <v>239</v>
      </c>
      <c r="O338" s="248" t="str">
        <f aca="false">IF(M338&gt;=0.13,"★★★ EXCELLENT",IF(M338&gt;=0.12,"★★  GOOD",IF(M338&gt;=0.07,"★  FAIR",IF(M338&gt;=0.025,"⚠  MARGINAL","✗  AVOID"))))</f>
        <v>⚠  MARGINAL</v>
      </c>
    </row>
    <row r="339" customFormat="false" ht="15" hidden="false" customHeight="true" outlineLevel="0" collapsed="false">
      <c r="A339" s="245" t="n">
        <v>38.2</v>
      </c>
      <c r="B339" s="246"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46"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46"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46"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46"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46"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46"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46"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46"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46"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46"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46" t="n">
        <f aca="false">MIN(B339:L339)</f>
        <v>0.0430877192982455</v>
      </c>
      <c r="N339" s="246" t="n">
        <f aca="false">SUMPRODUCT(($M$7:$M$557&gt;M339)*1)+SUMPRODUCT(($M$7:$M$557=M339)*(ROW($M$7:$M$557)&lt;ROW(M339)))+1</f>
        <v>252</v>
      </c>
      <c r="O339" s="246" t="str">
        <f aca="false">IF(M339&gt;=0.13,"★★★ EXCELLENT",IF(M339&gt;=0.12,"★★  GOOD",IF(M339&gt;=0.07,"★  FAIR",IF(M339&gt;=0.025,"⚠  MARGINAL","✗  AVOID"))))</f>
        <v>⚠  MARGINAL</v>
      </c>
    </row>
    <row r="340" customFormat="false" ht="15" hidden="false" customHeight="true" outlineLevel="0" collapsed="false">
      <c r="A340" s="247" t="n">
        <v>38.3</v>
      </c>
      <c r="B340" s="248"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48"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48"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48"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48"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48"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48"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48"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48"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48"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48"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48" t="n">
        <f aca="false">MIN(B340:L340)</f>
        <v>0.037964912280702</v>
      </c>
      <c r="N340" s="248" t="n">
        <f aca="false">SUMPRODUCT(($M$7:$M$557&gt;M340)*1)+SUMPRODUCT(($M$7:$M$557=M340)*(ROW($M$7:$M$557)&lt;ROW(M340)))+1</f>
        <v>269</v>
      </c>
      <c r="O340" s="248" t="str">
        <f aca="false">IF(M340&gt;=0.13,"★★★ EXCELLENT",IF(M340&gt;=0.12,"★★  GOOD",IF(M340&gt;=0.07,"★  FAIR",IF(M340&gt;=0.025,"⚠  MARGINAL","✗  AVOID"))))</f>
        <v>⚠  MARGINAL</v>
      </c>
    </row>
    <row r="341" customFormat="false" ht="15" hidden="false" customHeight="true" outlineLevel="0" collapsed="false">
      <c r="A341" s="245" t="n">
        <v>38.4</v>
      </c>
      <c r="B341" s="246"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46"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46"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46"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46"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46"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46"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46"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46"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46"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46"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46" t="n">
        <f aca="false">MIN(B341:L341)</f>
        <v>0.032842105263158</v>
      </c>
      <c r="N341" s="246" t="n">
        <f aca="false">SUMPRODUCT(($M$7:$M$557&gt;M341)*1)+SUMPRODUCT(($M$7:$M$557=M341)*(ROW($M$7:$M$557)&lt;ROW(M341)))+1</f>
        <v>282</v>
      </c>
      <c r="O341" s="246" t="str">
        <f aca="false">IF(M341&gt;=0.13,"★★★ EXCELLENT",IF(M341&gt;=0.12,"★★  GOOD",IF(M341&gt;=0.07,"★  FAIR",IF(M341&gt;=0.025,"⚠  MARGINAL","✗  AVOID"))))</f>
        <v>⚠  MARGINAL</v>
      </c>
    </row>
    <row r="342" customFormat="false" ht="15" hidden="false" customHeight="true" outlineLevel="0" collapsed="false">
      <c r="A342" s="247" t="n">
        <v>38.5</v>
      </c>
      <c r="B342" s="248"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48"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48"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48"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48"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48"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48"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48"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48"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48"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48"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48" t="n">
        <f aca="false">MIN(B342:L342)</f>
        <v>0.027719298245614</v>
      </c>
      <c r="N342" s="248" t="n">
        <f aca="false">SUMPRODUCT(($M$7:$M$557&gt;M342)*1)+SUMPRODUCT(($M$7:$M$557=M342)*(ROW($M$7:$M$557)&lt;ROW(M342)))+1</f>
        <v>300</v>
      </c>
      <c r="O342" s="248" t="str">
        <f aca="false">IF(M342&gt;=0.13,"★★★ EXCELLENT",IF(M342&gt;=0.12,"★★  GOOD",IF(M342&gt;=0.07,"★  FAIR",IF(M342&gt;=0.025,"⚠  MARGINAL","✗  AVOID"))))</f>
        <v>⚠  MARGINAL</v>
      </c>
    </row>
    <row r="343" customFormat="false" ht="15" hidden="false" customHeight="true" outlineLevel="0" collapsed="false">
      <c r="A343" s="245" t="n">
        <v>38.6</v>
      </c>
      <c r="B343" s="246"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46"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46"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46"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46"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46"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46"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46"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46"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46"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46"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46" t="n">
        <f aca="false">MIN(B343:L343)</f>
        <v>0.0225964912280701</v>
      </c>
      <c r="N343" s="246" t="n">
        <f aca="false">SUMPRODUCT(($M$7:$M$557&gt;M343)*1)+SUMPRODUCT(($M$7:$M$557=M343)*(ROW($M$7:$M$557)&lt;ROW(M343)))+1</f>
        <v>315</v>
      </c>
      <c r="O343" s="246" t="str">
        <f aca="false">IF(M343&gt;=0.13,"★★★ EXCELLENT",IF(M343&gt;=0.12,"★★  GOOD",IF(M343&gt;=0.07,"★  FAIR",IF(M343&gt;=0.025,"⚠  MARGINAL","✗  AVOID"))))</f>
        <v>✗  AVOID</v>
      </c>
    </row>
    <row r="344" customFormat="false" ht="15" hidden="false" customHeight="true" outlineLevel="0" collapsed="false">
      <c r="A344" s="247" t="n">
        <v>38.7</v>
      </c>
      <c r="B344" s="248"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48"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48"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48"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48"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48"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48"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48"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48"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48"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48"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48" t="n">
        <f aca="false">MIN(B344:L344)</f>
        <v>0.0174736842105263</v>
      </c>
      <c r="N344" s="248" t="n">
        <f aca="false">SUMPRODUCT(($M$7:$M$557&gt;M344)*1)+SUMPRODUCT(($M$7:$M$557=M344)*(ROW($M$7:$M$557)&lt;ROW(M344)))+1</f>
        <v>330</v>
      </c>
      <c r="O344" s="248" t="str">
        <f aca="false">IF(M344&gt;=0.13,"★★★ EXCELLENT",IF(M344&gt;=0.12,"★★  GOOD",IF(M344&gt;=0.07,"★  FAIR",IF(M344&gt;=0.025,"⚠  MARGINAL","✗  AVOID"))))</f>
        <v>✗  AVOID</v>
      </c>
    </row>
    <row r="345" customFormat="false" ht="15" hidden="false" customHeight="true" outlineLevel="0" collapsed="false">
      <c r="A345" s="245" t="n">
        <v>38.8</v>
      </c>
      <c r="B345" s="246"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46"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46"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46"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46"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46"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46"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46"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46"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46"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46"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46" t="n">
        <f aca="false">MIN(B345:L345)</f>
        <v>0.0123508771929828</v>
      </c>
      <c r="N345" s="246" t="n">
        <f aca="false">SUMPRODUCT(($M$7:$M$557&gt;M345)*1)+SUMPRODUCT(($M$7:$M$557=M345)*(ROW($M$7:$M$557)&lt;ROW(M345)))+1</f>
        <v>345</v>
      </c>
      <c r="O345" s="246" t="str">
        <f aca="false">IF(M345&gt;=0.13,"★★★ EXCELLENT",IF(M345&gt;=0.12,"★★  GOOD",IF(M345&gt;=0.07,"★  FAIR",IF(M345&gt;=0.025,"⚠  MARGINAL","✗  AVOID"))))</f>
        <v>✗  AVOID</v>
      </c>
    </row>
    <row r="346" customFormat="false" ht="15" hidden="false" customHeight="true" outlineLevel="0" collapsed="false">
      <c r="A346" s="247" t="n">
        <v>38.9</v>
      </c>
      <c r="B346" s="248"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48"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48"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48"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48"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48"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48"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48"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48"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48"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48"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48" t="n">
        <f aca="false">MIN(B346:L346)</f>
        <v>0.00722807017543881</v>
      </c>
      <c r="N346" s="248" t="n">
        <f aca="false">SUMPRODUCT(($M$7:$M$557&gt;M346)*1)+SUMPRODUCT(($M$7:$M$557=M346)*(ROW($M$7:$M$557)&lt;ROW(M346)))+1</f>
        <v>361</v>
      </c>
      <c r="O346" s="248" t="str">
        <f aca="false">IF(M346&gt;=0.13,"★★★ EXCELLENT",IF(M346&gt;=0.12,"★★  GOOD",IF(M346&gt;=0.07,"★  FAIR",IF(M346&gt;=0.025,"⚠  MARGINAL","✗  AVOID"))))</f>
        <v>✗  AVOID</v>
      </c>
    </row>
    <row r="347" customFormat="false" ht="15" hidden="false" customHeight="true" outlineLevel="0" collapsed="false">
      <c r="A347" s="245" t="n">
        <v>39</v>
      </c>
      <c r="B347" s="246"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46"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46"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46"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46"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46"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46"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46"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46"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46"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46"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46" t="n">
        <f aca="false">MIN(B347:L347)</f>
        <v>0.00210526315789483</v>
      </c>
      <c r="N347" s="246" t="n">
        <f aca="false">SUMPRODUCT(($M$7:$M$557&gt;M347)*1)+SUMPRODUCT(($M$7:$M$557=M347)*(ROW($M$7:$M$557)&lt;ROW(M347)))+1</f>
        <v>375</v>
      </c>
      <c r="O347" s="246" t="str">
        <f aca="false">IF(M347&gt;=0.13,"★★★ EXCELLENT",IF(M347&gt;=0.12,"★★  GOOD",IF(M347&gt;=0.07,"★  FAIR",IF(M347&gt;=0.025,"⚠  MARGINAL","✗  AVOID"))))</f>
        <v>✗  AVOID</v>
      </c>
    </row>
    <row r="348" customFormat="false" ht="15" hidden="false" customHeight="true" outlineLevel="0" collapsed="false">
      <c r="A348" s="247" t="n">
        <v>39.1</v>
      </c>
      <c r="B348" s="248"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48"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48"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48"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48"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48"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48"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48"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48"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48"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48"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48" t="n">
        <f aca="false">MIN(B348:L348)</f>
        <v>0</v>
      </c>
      <c r="N348" s="248" t="n">
        <f aca="false">SUMPRODUCT(($M$7:$M$557&gt;M348)*1)+SUMPRODUCT(($M$7:$M$557=M348)*(ROW($M$7:$M$557)&lt;ROW(M348)))+1</f>
        <v>475</v>
      </c>
      <c r="O348" s="248" t="str">
        <f aca="false">IF(M348&gt;=0.13,"★★★ EXCELLENT",IF(M348&gt;=0.12,"★★  GOOD",IF(M348&gt;=0.07,"★  FAIR",IF(M348&gt;=0.025,"⚠  MARGINAL","✗  AVOID"))))</f>
        <v>✗  AVOID</v>
      </c>
    </row>
    <row r="349" customFormat="false" ht="15" hidden="false" customHeight="true" outlineLevel="0" collapsed="false">
      <c r="A349" s="245" t="n">
        <v>39.2</v>
      </c>
      <c r="B349" s="246"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46"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46"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46"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46"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46"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46"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46"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46"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46"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46"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46" t="n">
        <f aca="false">MIN(B349:L349)</f>
        <v>0</v>
      </c>
      <c r="N349" s="246" t="n">
        <f aca="false">SUMPRODUCT(($M$7:$M$557&gt;M349)*1)+SUMPRODUCT(($M$7:$M$557=M349)*(ROW($M$7:$M$557)&lt;ROW(M349)))+1</f>
        <v>476</v>
      </c>
      <c r="O349" s="246" t="str">
        <f aca="false">IF(M349&gt;=0.13,"★★★ EXCELLENT",IF(M349&gt;=0.12,"★★  GOOD",IF(M349&gt;=0.07,"★  FAIR",IF(M349&gt;=0.025,"⚠  MARGINAL","✗  AVOID"))))</f>
        <v>✗  AVOID</v>
      </c>
    </row>
    <row r="350" customFormat="false" ht="15" hidden="false" customHeight="true" outlineLevel="0" collapsed="false">
      <c r="A350" s="247" t="n">
        <v>39.3</v>
      </c>
      <c r="B350" s="248"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48"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48"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48"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48"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48"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48"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48"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48"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48"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48"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48" t="n">
        <f aca="false">MIN(B350:L350)</f>
        <v>0</v>
      </c>
      <c r="N350" s="248" t="n">
        <f aca="false">SUMPRODUCT(($M$7:$M$557&gt;M350)*1)+SUMPRODUCT(($M$7:$M$557=M350)*(ROW($M$7:$M$557)&lt;ROW(M350)))+1</f>
        <v>477</v>
      </c>
      <c r="O350" s="248" t="str">
        <f aca="false">IF(M350&gt;=0.13,"★★★ EXCELLENT",IF(M350&gt;=0.12,"★★  GOOD",IF(M350&gt;=0.07,"★  FAIR",IF(M350&gt;=0.025,"⚠  MARGINAL","✗  AVOID"))))</f>
        <v>✗  AVOID</v>
      </c>
    </row>
    <row r="351" customFormat="false" ht="15" hidden="false" customHeight="true" outlineLevel="0" collapsed="false">
      <c r="A351" s="245" t="n">
        <v>39.4</v>
      </c>
      <c r="B351" s="246"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46"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46"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46"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46"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46"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46"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46"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46"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46"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46"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46" t="n">
        <f aca="false">MIN(B351:L351)</f>
        <v>0</v>
      </c>
      <c r="N351" s="246" t="n">
        <f aca="false">SUMPRODUCT(($M$7:$M$557&gt;M351)*1)+SUMPRODUCT(($M$7:$M$557=M351)*(ROW($M$7:$M$557)&lt;ROW(M351)))+1</f>
        <v>478</v>
      </c>
      <c r="O351" s="246" t="str">
        <f aca="false">IF(M351&gt;=0.13,"★★★ EXCELLENT",IF(M351&gt;=0.12,"★★  GOOD",IF(M351&gt;=0.07,"★  FAIR",IF(M351&gt;=0.025,"⚠  MARGINAL","✗  AVOID"))))</f>
        <v>✗  AVOID</v>
      </c>
    </row>
    <row r="352" customFormat="false" ht="15" hidden="false" customHeight="true" outlineLevel="0" collapsed="false">
      <c r="A352" s="247" t="n">
        <v>39.5</v>
      </c>
      <c r="B352" s="248"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48"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48"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48"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48"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48"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48"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48"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48"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48"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48"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48" t="n">
        <f aca="false">MIN(B352:L352)</f>
        <v>0</v>
      </c>
      <c r="N352" s="248" t="n">
        <f aca="false">SUMPRODUCT(($M$7:$M$557&gt;M352)*1)+SUMPRODUCT(($M$7:$M$557=M352)*(ROW($M$7:$M$557)&lt;ROW(M352)))+1</f>
        <v>479</v>
      </c>
      <c r="O352" s="248" t="str">
        <f aca="false">IF(M352&gt;=0.13,"★★★ EXCELLENT",IF(M352&gt;=0.12,"★★  GOOD",IF(M352&gt;=0.07,"★  FAIR",IF(M352&gt;=0.025,"⚠  MARGINAL","✗  AVOID"))))</f>
        <v>✗  AVOID</v>
      </c>
    </row>
    <row r="353" customFormat="false" ht="15" hidden="false" customHeight="true" outlineLevel="0" collapsed="false">
      <c r="A353" s="245" t="n">
        <v>39.6</v>
      </c>
      <c r="B353" s="246"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46"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46"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46"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46"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46"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46"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46"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46"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46"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46"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46" t="n">
        <f aca="false">MIN(B353:L353)</f>
        <v>0</v>
      </c>
      <c r="N353" s="246" t="n">
        <f aca="false">SUMPRODUCT(($M$7:$M$557&gt;M353)*1)+SUMPRODUCT(($M$7:$M$557=M353)*(ROW($M$7:$M$557)&lt;ROW(M353)))+1</f>
        <v>480</v>
      </c>
      <c r="O353" s="246" t="str">
        <f aca="false">IF(M353&gt;=0.13,"★★★ EXCELLENT",IF(M353&gt;=0.12,"★★  GOOD",IF(M353&gt;=0.07,"★  FAIR",IF(M353&gt;=0.025,"⚠  MARGINAL","✗  AVOID"))))</f>
        <v>✗  AVOID</v>
      </c>
    </row>
    <row r="354" customFormat="false" ht="15" hidden="false" customHeight="true" outlineLevel="0" collapsed="false">
      <c r="A354" s="247" t="n">
        <v>39.7</v>
      </c>
      <c r="B354" s="248"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48"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48"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48"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48"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48"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48"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48"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48"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48"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48"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48" t="n">
        <f aca="false">MIN(B354:L354)</f>
        <v>0</v>
      </c>
      <c r="N354" s="248" t="n">
        <f aca="false">SUMPRODUCT(($M$7:$M$557&gt;M354)*1)+SUMPRODUCT(($M$7:$M$557=M354)*(ROW($M$7:$M$557)&lt;ROW(M354)))+1</f>
        <v>481</v>
      </c>
      <c r="O354" s="248" t="str">
        <f aca="false">IF(M354&gt;=0.13,"★★★ EXCELLENT",IF(M354&gt;=0.12,"★★  GOOD",IF(M354&gt;=0.07,"★  FAIR",IF(M354&gt;=0.025,"⚠  MARGINAL","✗  AVOID"))))</f>
        <v>✗  AVOID</v>
      </c>
    </row>
    <row r="355" customFormat="false" ht="15" hidden="false" customHeight="true" outlineLevel="0" collapsed="false">
      <c r="A355" s="245" t="n">
        <v>39.8</v>
      </c>
      <c r="B355" s="246"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46"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46"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46"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46"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46"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46"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46"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46"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46"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46"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46" t="n">
        <f aca="false">MIN(B355:L355)</f>
        <v>0</v>
      </c>
      <c r="N355" s="246" t="n">
        <f aca="false">SUMPRODUCT(($M$7:$M$557&gt;M355)*1)+SUMPRODUCT(($M$7:$M$557=M355)*(ROW($M$7:$M$557)&lt;ROW(M355)))+1</f>
        <v>482</v>
      </c>
      <c r="O355" s="246" t="str">
        <f aca="false">IF(M355&gt;=0.13,"★★★ EXCELLENT",IF(M355&gt;=0.12,"★★  GOOD",IF(M355&gt;=0.07,"★  FAIR",IF(M355&gt;=0.025,"⚠  MARGINAL","✗  AVOID"))))</f>
        <v>✗  AVOID</v>
      </c>
    </row>
    <row r="356" customFormat="false" ht="15" hidden="false" customHeight="true" outlineLevel="0" collapsed="false">
      <c r="A356" s="247" t="n">
        <v>39.9</v>
      </c>
      <c r="B356" s="248"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48"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48"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48"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48"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48"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48"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48"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48"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48"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48"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48" t="n">
        <f aca="false">MIN(B356:L356)</f>
        <v>0</v>
      </c>
      <c r="N356" s="248" t="n">
        <f aca="false">SUMPRODUCT(($M$7:$M$557&gt;M356)*1)+SUMPRODUCT(($M$7:$M$557=M356)*(ROW($M$7:$M$557)&lt;ROW(M356)))+1</f>
        <v>483</v>
      </c>
      <c r="O356" s="248" t="str">
        <f aca="false">IF(M356&gt;=0.13,"★★★ EXCELLENT",IF(M356&gt;=0.12,"★★  GOOD",IF(M356&gt;=0.07,"★  FAIR",IF(M356&gt;=0.025,"⚠  MARGINAL","✗  AVOID"))))</f>
        <v>✗  AVOID</v>
      </c>
    </row>
    <row r="357" customFormat="false" ht="15" hidden="false" customHeight="true" outlineLevel="0" collapsed="false">
      <c r="A357" s="245" t="n">
        <v>40</v>
      </c>
      <c r="B357" s="246"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46"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46"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46"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46"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46"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46"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46"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46"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46"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46"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46" t="n">
        <f aca="false">MIN(B357:L357)</f>
        <v>0</v>
      </c>
      <c r="N357" s="246" t="n">
        <f aca="false">SUMPRODUCT(($M$7:$M$557&gt;M357)*1)+SUMPRODUCT(($M$7:$M$557=M357)*(ROW($M$7:$M$557)&lt;ROW(M357)))+1</f>
        <v>484</v>
      </c>
      <c r="O357" s="246" t="str">
        <f aca="false">IF(M357&gt;=0.13,"★★★ EXCELLENT",IF(M357&gt;=0.12,"★★  GOOD",IF(M357&gt;=0.07,"★  FAIR",IF(M357&gt;=0.025,"⚠  MARGINAL","✗  AVOID"))))</f>
        <v>✗  AVOID</v>
      </c>
    </row>
    <row r="358" customFormat="false" ht="15" hidden="false" customHeight="true" outlineLevel="0" collapsed="false">
      <c r="A358" s="247" t="n">
        <v>40.1</v>
      </c>
      <c r="B358" s="248"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48"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48"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48"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48"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48"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48"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48"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48"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48"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48"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48" t="n">
        <f aca="false">MIN(B358:L358)</f>
        <v>0</v>
      </c>
      <c r="N358" s="248" t="n">
        <f aca="false">SUMPRODUCT(($M$7:$M$557&gt;M358)*1)+SUMPRODUCT(($M$7:$M$557=M358)*(ROW($M$7:$M$557)&lt;ROW(M358)))+1</f>
        <v>485</v>
      </c>
      <c r="O358" s="248" t="str">
        <f aca="false">IF(M358&gt;=0.13,"★★★ EXCELLENT",IF(M358&gt;=0.12,"★★  GOOD",IF(M358&gt;=0.07,"★  FAIR",IF(M358&gt;=0.025,"⚠  MARGINAL","✗  AVOID"))))</f>
        <v>✗  AVOID</v>
      </c>
    </row>
    <row r="359" customFormat="false" ht="15" hidden="false" customHeight="true" outlineLevel="0" collapsed="false">
      <c r="A359" s="245" t="n">
        <v>40.2</v>
      </c>
      <c r="B359" s="246"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46"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46"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46"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46"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46"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46"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46"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46"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46"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46"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46" t="n">
        <f aca="false">MIN(B359:L359)</f>
        <v>0</v>
      </c>
      <c r="N359" s="246" t="n">
        <f aca="false">SUMPRODUCT(($M$7:$M$557&gt;M359)*1)+SUMPRODUCT(($M$7:$M$557=M359)*(ROW($M$7:$M$557)&lt;ROW(M359)))+1</f>
        <v>486</v>
      </c>
      <c r="O359" s="246" t="str">
        <f aca="false">IF(M359&gt;=0.13,"★★★ EXCELLENT",IF(M359&gt;=0.12,"★★  GOOD",IF(M359&gt;=0.07,"★  FAIR",IF(M359&gt;=0.025,"⚠  MARGINAL","✗  AVOID"))))</f>
        <v>✗  AVOID</v>
      </c>
    </row>
    <row r="360" customFormat="false" ht="15" hidden="false" customHeight="true" outlineLevel="0" collapsed="false">
      <c r="A360" s="247" t="n">
        <v>40.3</v>
      </c>
      <c r="B360" s="248"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48"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48"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48"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48"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48"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48"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48"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48"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48"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48"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48" t="n">
        <f aca="false">MIN(B360:L360)</f>
        <v>0</v>
      </c>
      <c r="N360" s="248" t="n">
        <f aca="false">SUMPRODUCT(($M$7:$M$557&gt;M360)*1)+SUMPRODUCT(($M$7:$M$557=M360)*(ROW($M$7:$M$557)&lt;ROW(M360)))+1</f>
        <v>487</v>
      </c>
      <c r="O360" s="248" t="str">
        <f aca="false">IF(M360&gt;=0.13,"★★★ EXCELLENT",IF(M360&gt;=0.12,"★★  GOOD",IF(M360&gt;=0.07,"★  FAIR",IF(M360&gt;=0.025,"⚠  MARGINAL","✗  AVOID"))))</f>
        <v>✗  AVOID</v>
      </c>
    </row>
    <row r="361" customFormat="false" ht="15" hidden="false" customHeight="true" outlineLevel="0" collapsed="false">
      <c r="A361" s="245" t="n">
        <v>40.4</v>
      </c>
      <c r="B361" s="246"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46"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46"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46"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46"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46"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46"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46"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46"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46"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46"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46" t="n">
        <f aca="false">MIN(B361:L361)</f>
        <v>0</v>
      </c>
      <c r="N361" s="246" t="n">
        <f aca="false">SUMPRODUCT(($M$7:$M$557&gt;M361)*1)+SUMPRODUCT(($M$7:$M$557=M361)*(ROW($M$7:$M$557)&lt;ROW(M361)))+1</f>
        <v>488</v>
      </c>
      <c r="O361" s="246" t="str">
        <f aca="false">IF(M361&gt;=0.13,"★★★ EXCELLENT",IF(M361&gt;=0.12,"★★  GOOD",IF(M361&gt;=0.07,"★  FAIR",IF(M361&gt;=0.025,"⚠  MARGINAL","✗  AVOID"))))</f>
        <v>✗  AVOID</v>
      </c>
    </row>
    <row r="362" customFormat="false" ht="15" hidden="false" customHeight="true" outlineLevel="0" collapsed="false">
      <c r="A362" s="247" t="n">
        <v>40.5</v>
      </c>
      <c r="B362" s="248"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48"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48"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48"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48"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48"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48"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48"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48"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48"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48"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48" t="n">
        <f aca="false">MIN(B362:L362)</f>
        <v>0</v>
      </c>
      <c r="N362" s="248" t="n">
        <f aca="false">SUMPRODUCT(($M$7:$M$557&gt;M362)*1)+SUMPRODUCT(($M$7:$M$557=M362)*(ROW($M$7:$M$557)&lt;ROW(M362)))+1</f>
        <v>489</v>
      </c>
      <c r="O362" s="248" t="str">
        <f aca="false">IF(M362&gt;=0.13,"★★★ EXCELLENT",IF(M362&gt;=0.12,"★★  GOOD",IF(M362&gt;=0.07,"★  FAIR",IF(M362&gt;=0.025,"⚠  MARGINAL","✗  AVOID"))))</f>
        <v>✗  AVOID</v>
      </c>
    </row>
    <row r="363" customFormat="false" ht="15" hidden="false" customHeight="true" outlineLevel="0" collapsed="false">
      <c r="A363" s="245" t="n">
        <v>40.6</v>
      </c>
      <c r="B363" s="246"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46"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46"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46"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46"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46"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46"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46"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46"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46"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46"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46" t="n">
        <f aca="false">MIN(B363:L363)</f>
        <v>0</v>
      </c>
      <c r="N363" s="246" t="n">
        <f aca="false">SUMPRODUCT(($M$7:$M$557&gt;M363)*1)+SUMPRODUCT(($M$7:$M$557=M363)*(ROW($M$7:$M$557)&lt;ROW(M363)))+1</f>
        <v>490</v>
      </c>
      <c r="O363" s="246" t="str">
        <f aca="false">IF(M363&gt;=0.13,"★★★ EXCELLENT",IF(M363&gt;=0.12,"★★  GOOD",IF(M363&gt;=0.07,"★  FAIR",IF(M363&gt;=0.025,"⚠  MARGINAL","✗  AVOID"))))</f>
        <v>✗  AVOID</v>
      </c>
    </row>
    <row r="364" customFormat="false" ht="15" hidden="false" customHeight="true" outlineLevel="0" collapsed="false">
      <c r="A364" s="247" t="n">
        <v>40.7</v>
      </c>
      <c r="B364" s="248"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48"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48"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48"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48"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48"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48"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48"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48"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48"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48"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48" t="n">
        <f aca="false">MIN(B364:L364)</f>
        <v>0</v>
      </c>
      <c r="N364" s="248" t="n">
        <f aca="false">SUMPRODUCT(($M$7:$M$557&gt;M364)*1)+SUMPRODUCT(($M$7:$M$557=M364)*(ROW($M$7:$M$557)&lt;ROW(M364)))+1</f>
        <v>491</v>
      </c>
      <c r="O364" s="248" t="str">
        <f aca="false">IF(M364&gt;=0.13,"★★★ EXCELLENT",IF(M364&gt;=0.12,"★★  GOOD",IF(M364&gt;=0.07,"★  FAIR",IF(M364&gt;=0.025,"⚠  MARGINAL","✗  AVOID"))))</f>
        <v>✗  AVOID</v>
      </c>
    </row>
    <row r="365" customFormat="false" ht="15" hidden="false" customHeight="true" outlineLevel="0" collapsed="false">
      <c r="A365" s="245" t="n">
        <v>40.8</v>
      </c>
      <c r="B365" s="246"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46"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46"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46"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46"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46"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46"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46"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46"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46"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46"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46" t="n">
        <f aca="false">MIN(B365:L365)</f>
        <v>0.00421052631578922</v>
      </c>
      <c r="N365" s="246" t="n">
        <f aca="false">SUMPRODUCT(($M$7:$M$557&gt;M365)*1)+SUMPRODUCT(($M$7:$M$557=M365)*(ROW($M$7:$M$557)&lt;ROW(M365)))+1</f>
        <v>369</v>
      </c>
      <c r="O365" s="246" t="str">
        <f aca="false">IF(M365&gt;=0.13,"★★★ EXCELLENT",IF(M365&gt;=0.12,"★★  GOOD",IF(M365&gt;=0.07,"★  FAIR",IF(M365&gt;=0.025,"⚠  MARGINAL","✗  AVOID"))))</f>
        <v>✗  AVOID</v>
      </c>
    </row>
    <row r="366" customFormat="false" ht="15" hidden="false" customHeight="true" outlineLevel="0" collapsed="false">
      <c r="A366" s="247" t="n">
        <v>40.9</v>
      </c>
      <c r="B366" s="248"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48"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48"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48"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48"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48"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48"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48"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48"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48"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48"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48" t="n">
        <f aca="false">MIN(B366:L366)</f>
        <v>0.00912280701754398</v>
      </c>
      <c r="N366" s="248" t="n">
        <f aca="false">SUMPRODUCT(($M$7:$M$557&gt;M366)*1)+SUMPRODUCT(($M$7:$M$557=M366)*(ROW($M$7:$M$557)&lt;ROW(M366)))+1</f>
        <v>356</v>
      </c>
      <c r="O366" s="248" t="str">
        <f aca="false">IF(M366&gt;=0.13,"★★★ EXCELLENT",IF(M366&gt;=0.12,"★★  GOOD",IF(M366&gt;=0.07,"★  FAIR",IF(M366&gt;=0.025,"⚠  MARGINAL","✗  AVOID"))))</f>
        <v>✗  AVOID</v>
      </c>
    </row>
    <row r="367" customFormat="false" ht="15" hidden="false" customHeight="true" outlineLevel="0" collapsed="false">
      <c r="A367" s="245" t="n">
        <v>41</v>
      </c>
      <c r="B367" s="246"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46"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46"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46"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46"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46"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46"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46"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46"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46"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46"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46" t="n">
        <f aca="false">MIN(B367:L367)</f>
        <v>0.0140350877192983</v>
      </c>
      <c r="N367" s="246" t="n">
        <f aca="false">SUMPRODUCT(($M$7:$M$557&gt;M367)*1)+SUMPRODUCT(($M$7:$M$557=M367)*(ROW($M$7:$M$557)&lt;ROW(M367)))+1</f>
        <v>340</v>
      </c>
      <c r="O367" s="246" t="str">
        <f aca="false">IF(M367&gt;=0.13,"★★★ EXCELLENT",IF(M367&gt;=0.12,"★★  GOOD",IF(M367&gt;=0.07,"★  FAIR",IF(M367&gt;=0.025,"⚠  MARGINAL","✗  AVOID"))))</f>
        <v>✗  AVOID</v>
      </c>
    </row>
    <row r="368" customFormat="false" ht="15" hidden="false" customHeight="true" outlineLevel="0" collapsed="false">
      <c r="A368" s="247" t="n">
        <v>41.1</v>
      </c>
      <c r="B368" s="248"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48"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48"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48"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48"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48"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48"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48"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48"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48"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48"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48" t="n">
        <f aca="false">MIN(B368:L368)</f>
        <v>0.0189473684210526</v>
      </c>
      <c r="N368" s="248" t="n">
        <f aca="false">SUMPRODUCT(($M$7:$M$557&gt;M368)*1)+SUMPRODUCT(($M$7:$M$557=M368)*(ROW($M$7:$M$557)&lt;ROW(M368)))+1</f>
        <v>326</v>
      </c>
      <c r="O368" s="248" t="str">
        <f aca="false">IF(M368&gt;=0.13,"★★★ EXCELLENT",IF(M368&gt;=0.12,"★★  GOOD",IF(M368&gt;=0.07,"★  FAIR",IF(M368&gt;=0.025,"⚠  MARGINAL","✗  AVOID"))))</f>
        <v>✗  AVOID</v>
      </c>
    </row>
    <row r="369" customFormat="false" ht="15" hidden="false" customHeight="true" outlineLevel="0" collapsed="false">
      <c r="A369" s="245" t="n">
        <v>41.2</v>
      </c>
      <c r="B369" s="246"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46"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46"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46"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46"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46"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46"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46"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46"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46"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46"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46" t="n">
        <f aca="false">MIN(B369:L369)</f>
        <v>0.0238596491228074</v>
      </c>
      <c r="N369" s="246" t="n">
        <f aca="false">SUMPRODUCT(($M$7:$M$557&gt;M369)*1)+SUMPRODUCT(($M$7:$M$557=M369)*(ROW($M$7:$M$557)&lt;ROW(M369)))+1</f>
        <v>310</v>
      </c>
      <c r="O369" s="246" t="str">
        <f aca="false">IF(M369&gt;=0.13,"★★★ EXCELLENT",IF(M369&gt;=0.12,"★★  GOOD",IF(M369&gt;=0.07,"★  FAIR",IF(M369&gt;=0.025,"⚠  MARGINAL","✗  AVOID"))))</f>
        <v>✗  AVOID</v>
      </c>
    </row>
    <row r="370" customFormat="false" ht="15" hidden="false" customHeight="true" outlineLevel="0" collapsed="false">
      <c r="A370" s="247" t="n">
        <v>41.3</v>
      </c>
      <c r="B370" s="248"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48"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48"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48"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48"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48"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48"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48"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48"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48"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48"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48" t="n">
        <f aca="false">MIN(B370:L370)</f>
        <v>0.0287719298245612</v>
      </c>
      <c r="N370" s="248" t="n">
        <f aca="false">SUMPRODUCT(($M$7:$M$557&gt;M370)*1)+SUMPRODUCT(($M$7:$M$557=M370)*(ROW($M$7:$M$557)&lt;ROW(M370)))+1</f>
        <v>298</v>
      </c>
      <c r="O370" s="248" t="str">
        <f aca="false">IF(M370&gt;=0.13,"★★★ EXCELLENT",IF(M370&gt;=0.12,"★★  GOOD",IF(M370&gt;=0.07,"★  FAIR",IF(M370&gt;=0.025,"⚠  MARGINAL","✗  AVOID"))))</f>
        <v>⚠  MARGINAL</v>
      </c>
    </row>
    <row r="371" customFormat="false" ht="15" hidden="false" customHeight="true" outlineLevel="0" collapsed="false">
      <c r="A371" s="245" t="n">
        <v>41.4</v>
      </c>
      <c r="B371" s="246"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46"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46"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46"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46"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46"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46"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46"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46"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46"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46"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46" t="n">
        <f aca="false">MIN(B371:L371)</f>
        <v>0.033684210526316</v>
      </c>
      <c r="N371" s="246" t="n">
        <f aca="false">SUMPRODUCT(($M$7:$M$557&gt;M371)*1)+SUMPRODUCT(($M$7:$M$557=M371)*(ROW($M$7:$M$557)&lt;ROW(M371)))+1</f>
        <v>281</v>
      </c>
      <c r="O371" s="246" t="str">
        <f aca="false">IF(M371&gt;=0.13,"★★★ EXCELLENT",IF(M371&gt;=0.12,"★★  GOOD",IF(M371&gt;=0.07,"★  FAIR",IF(M371&gt;=0.025,"⚠  MARGINAL","✗  AVOID"))))</f>
        <v>⚠  MARGINAL</v>
      </c>
    </row>
    <row r="372" customFormat="false" ht="15" hidden="false" customHeight="true" outlineLevel="0" collapsed="false">
      <c r="A372" s="247" t="n">
        <v>41.5</v>
      </c>
      <c r="B372" s="248"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48"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48"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48"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48"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48"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48"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48"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48"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48"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48"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48" t="n">
        <f aca="false">MIN(B372:L372)</f>
        <v>0.0385964912280703</v>
      </c>
      <c r="N372" s="248" t="n">
        <f aca="false">SUMPRODUCT(($M$7:$M$557&gt;M372)*1)+SUMPRODUCT(($M$7:$M$557=M372)*(ROW($M$7:$M$557)&lt;ROW(M372)))+1</f>
        <v>268</v>
      </c>
      <c r="O372" s="248" t="str">
        <f aca="false">IF(M372&gt;=0.13,"★★★ EXCELLENT",IF(M372&gt;=0.12,"★★  GOOD",IF(M372&gt;=0.07,"★  FAIR",IF(M372&gt;=0.025,"⚠  MARGINAL","✗  AVOID"))))</f>
        <v>⚠  MARGINAL</v>
      </c>
    </row>
    <row r="373" customFormat="false" ht="15" hidden="false" customHeight="true" outlineLevel="0" collapsed="false">
      <c r="A373" s="245" t="n">
        <v>41.6</v>
      </c>
      <c r="B373" s="246"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46"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46"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46"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46"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46"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46"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46"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46"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46"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46"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46" t="n">
        <f aca="false">MIN(B373:L373)</f>
        <v>0.0435087719298246</v>
      </c>
      <c r="N373" s="246" t="n">
        <f aca="false">SUMPRODUCT(($M$7:$M$557&gt;M373)*1)+SUMPRODUCT(($M$7:$M$557=M373)*(ROW($M$7:$M$557)&lt;ROW(M373)))+1</f>
        <v>251</v>
      </c>
      <c r="O373" s="246" t="str">
        <f aca="false">IF(M373&gt;=0.13,"★★★ EXCELLENT",IF(M373&gt;=0.12,"★★  GOOD",IF(M373&gt;=0.07,"★  FAIR",IF(M373&gt;=0.025,"⚠  MARGINAL","✗  AVOID"))))</f>
        <v>⚠  MARGINAL</v>
      </c>
    </row>
    <row r="374" customFormat="false" ht="15" hidden="false" customHeight="true" outlineLevel="0" collapsed="false">
      <c r="A374" s="247" t="n">
        <v>41.7</v>
      </c>
      <c r="B374" s="248"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48"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48"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48"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48"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48"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48"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48"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48"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48"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48"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48" t="n">
        <f aca="false">MIN(B374:L374)</f>
        <v>0.0484210526315794</v>
      </c>
      <c r="N374" s="248" t="n">
        <f aca="false">SUMPRODUCT(($M$7:$M$557&gt;M374)*1)+SUMPRODUCT(($M$7:$M$557=M374)*(ROW($M$7:$M$557)&lt;ROW(M374)))+1</f>
        <v>238</v>
      </c>
      <c r="O374" s="248" t="str">
        <f aca="false">IF(M374&gt;=0.13,"★★★ EXCELLENT",IF(M374&gt;=0.12,"★★  GOOD",IF(M374&gt;=0.07,"★  FAIR",IF(M374&gt;=0.025,"⚠  MARGINAL","✗  AVOID"))))</f>
        <v>⚠  MARGINAL</v>
      </c>
    </row>
    <row r="375" customFormat="false" ht="15" hidden="false" customHeight="true" outlineLevel="0" collapsed="false">
      <c r="A375" s="245" t="n">
        <v>41.8</v>
      </c>
      <c r="B375" s="246"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46"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46"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46"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46"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46"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46"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46"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46"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46"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46"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46" t="n">
        <f aca="false">MIN(B375:L375)</f>
        <v>0.0533333333333332</v>
      </c>
      <c r="N375" s="246" t="n">
        <f aca="false">SUMPRODUCT(($M$7:$M$557&gt;M375)*1)+SUMPRODUCT(($M$7:$M$557=M375)*(ROW($M$7:$M$557)&lt;ROW(M375)))+1</f>
        <v>222</v>
      </c>
      <c r="O375" s="246" t="str">
        <f aca="false">IF(M375&gt;=0.13,"★★★ EXCELLENT",IF(M375&gt;=0.12,"★★  GOOD",IF(M375&gt;=0.07,"★  FAIR",IF(M375&gt;=0.025,"⚠  MARGINAL","✗  AVOID"))))</f>
        <v>⚠  MARGINAL</v>
      </c>
    </row>
    <row r="376" customFormat="false" ht="15" hidden="false" customHeight="true" outlineLevel="0" collapsed="false">
      <c r="A376" s="247" t="n">
        <v>41.9</v>
      </c>
      <c r="B376" s="248"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48"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48"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48"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48"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48"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48"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48"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48"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48"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48"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48" t="n">
        <f aca="false">MIN(B376:L376)</f>
        <v>0.058245614035088</v>
      </c>
      <c r="N376" s="248" t="n">
        <f aca="false">SUMPRODUCT(($M$7:$M$557&gt;M376)*1)+SUMPRODUCT(($M$7:$M$557=M376)*(ROW($M$7:$M$557)&lt;ROW(M376)))+1</f>
        <v>209</v>
      </c>
      <c r="O376" s="248" t="str">
        <f aca="false">IF(M376&gt;=0.13,"★★★ EXCELLENT",IF(M376&gt;=0.12,"★★  GOOD",IF(M376&gt;=0.07,"★  FAIR",IF(M376&gt;=0.025,"⚠  MARGINAL","✗  AVOID"))))</f>
        <v>⚠  MARGINAL</v>
      </c>
    </row>
    <row r="377" customFormat="false" ht="15" hidden="false" customHeight="true" outlineLevel="0" collapsed="false">
      <c r="A377" s="245" t="n">
        <v>42</v>
      </c>
      <c r="B377" s="246"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46"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46"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46"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46"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46"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46"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46"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46"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46"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46"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46" t="n">
        <f aca="false">MIN(B377:L377)</f>
        <v>0.0631578947368423</v>
      </c>
      <c r="N377" s="246" t="n">
        <f aca="false">SUMPRODUCT(($M$7:$M$557&gt;M377)*1)+SUMPRODUCT(($M$7:$M$557=M377)*(ROW($M$7:$M$557)&lt;ROW(M377)))+1</f>
        <v>192</v>
      </c>
      <c r="O377" s="246" t="str">
        <f aca="false">IF(M377&gt;=0.13,"★★★ EXCELLENT",IF(M377&gt;=0.12,"★★  GOOD",IF(M377&gt;=0.07,"★  FAIR",IF(M377&gt;=0.025,"⚠  MARGINAL","✗  AVOID"))))</f>
        <v>⚠  MARGINAL</v>
      </c>
    </row>
    <row r="378" customFormat="false" ht="15" hidden="false" customHeight="true" outlineLevel="0" collapsed="false">
      <c r="A378" s="247" t="n">
        <v>42.1</v>
      </c>
      <c r="B378" s="248"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48"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48"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48"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48"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48"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48"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48"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48"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48"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48"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48" t="n">
        <f aca="false">MIN(B378:L378)</f>
        <v>0.0680701754385966</v>
      </c>
      <c r="N378" s="248" t="n">
        <f aca="false">SUMPRODUCT(($M$7:$M$557&gt;M378)*1)+SUMPRODUCT(($M$7:$M$557=M378)*(ROW($M$7:$M$557)&lt;ROW(M378)))+1</f>
        <v>179</v>
      </c>
      <c r="O378" s="248" t="str">
        <f aca="false">IF(M378&gt;=0.13,"★★★ EXCELLENT",IF(M378&gt;=0.12,"★★  GOOD",IF(M378&gt;=0.07,"★  FAIR",IF(M378&gt;=0.025,"⚠  MARGINAL","✗  AVOID"))))</f>
        <v>⚠  MARGINAL</v>
      </c>
    </row>
    <row r="379" customFormat="false" ht="15" hidden="false" customHeight="true" outlineLevel="0" collapsed="false">
      <c r="A379" s="245" t="n">
        <v>42.2</v>
      </c>
      <c r="B379" s="246"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46"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46"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46"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46"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46"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46"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46"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46"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46"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46"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46" t="n">
        <f aca="false">MIN(B379:L379)</f>
        <v>0.0729824561403509</v>
      </c>
      <c r="N379" s="246" t="n">
        <f aca="false">SUMPRODUCT(($M$7:$M$557&gt;M379)*1)+SUMPRODUCT(($M$7:$M$557=M379)*(ROW($M$7:$M$557)&lt;ROW(M379)))+1</f>
        <v>163</v>
      </c>
      <c r="O379" s="246" t="str">
        <f aca="false">IF(M379&gt;=0.13,"★★★ EXCELLENT",IF(M379&gt;=0.12,"★★  GOOD",IF(M379&gt;=0.07,"★  FAIR",IF(M379&gt;=0.025,"⚠  MARGINAL","✗  AVOID"))))</f>
        <v>★  FAIR</v>
      </c>
    </row>
    <row r="380" customFormat="false" ht="15" hidden="false" customHeight="true" outlineLevel="0" collapsed="false">
      <c r="A380" s="247" t="n">
        <v>42.3</v>
      </c>
      <c r="B380" s="248"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48"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48"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48"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48"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48"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48"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48"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48"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48"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48"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48" t="n">
        <f aca="false">MIN(B380:L380)</f>
        <v>0.0778947368421052</v>
      </c>
      <c r="N380" s="248" t="n">
        <f aca="false">SUMPRODUCT(($M$7:$M$557&gt;M380)*1)+SUMPRODUCT(($M$7:$M$557=M380)*(ROW($M$7:$M$557)&lt;ROW(M380)))+1</f>
        <v>150</v>
      </c>
      <c r="O380" s="248" t="str">
        <f aca="false">IF(M380&gt;=0.13,"★★★ EXCELLENT",IF(M380&gt;=0.12,"★★  GOOD",IF(M380&gt;=0.07,"★  FAIR",IF(M380&gt;=0.025,"⚠  MARGINAL","✗  AVOID"))))</f>
        <v>★  FAIR</v>
      </c>
    </row>
    <row r="381" customFormat="false" ht="15" hidden="false" customHeight="true" outlineLevel="0" collapsed="false">
      <c r="A381" s="245" t="n">
        <v>42.4</v>
      </c>
      <c r="B381" s="246"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46"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46"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46"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46"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46"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46"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46"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46"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46"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46"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46" t="n">
        <f aca="false">MIN(B381:L381)</f>
        <v>0.0828070175438596</v>
      </c>
      <c r="N381" s="246" t="n">
        <f aca="false">SUMPRODUCT(($M$7:$M$557&gt;M381)*1)+SUMPRODUCT(($M$7:$M$557=M381)*(ROW($M$7:$M$557)&lt;ROW(M381)))+1</f>
        <v>134</v>
      </c>
      <c r="O381" s="246" t="str">
        <f aca="false">IF(M381&gt;=0.13,"★★★ EXCELLENT",IF(M381&gt;=0.12,"★★  GOOD",IF(M381&gt;=0.07,"★  FAIR",IF(M381&gt;=0.025,"⚠  MARGINAL","✗  AVOID"))))</f>
        <v>★  FAIR</v>
      </c>
    </row>
    <row r="382" customFormat="false" ht="15" hidden="false" customHeight="true" outlineLevel="0" collapsed="false">
      <c r="A382" s="247" t="n">
        <v>42.5</v>
      </c>
      <c r="B382" s="248"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48"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48"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48"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48"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48"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48"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48"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48"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48"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48"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48" t="n">
        <f aca="false">MIN(B382:L382)</f>
        <v>0.0877192982456139</v>
      </c>
      <c r="N382" s="248" t="n">
        <f aca="false">SUMPRODUCT(($M$7:$M$557&gt;M382)*1)+SUMPRODUCT(($M$7:$M$557=M382)*(ROW($M$7:$M$557)&lt;ROW(M382)))+1</f>
        <v>120</v>
      </c>
      <c r="O382" s="248" t="str">
        <f aca="false">IF(M382&gt;=0.13,"★★★ EXCELLENT",IF(M382&gt;=0.12,"★★  GOOD",IF(M382&gt;=0.07,"★  FAIR",IF(M382&gt;=0.025,"⚠  MARGINAL","✗  AVOID"))))</f>
        <v>★  FAIR</v>
      </c>
    </row>
    <row r="383" customFormat="false" ht="15" hidden="false" customHeight="true" outlineLevel="0" collapsed="false">
      <c r="A383" s="245" t="n">
        <v>42.6</v>
      </c>
      <c r="B383" s="246"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46"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46"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46"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46"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46"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46"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46"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46"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46"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46"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46" t="n">
        <f aca="false">MIN(B383:L383)</f>
        <v>0.0926315789473682</v>
      </c>
      <c r="N383" s="246" t="n">
        <f aca="false">SUMPRODUCT(($M$7:$M$557&gt;M383)*1)+SUMPRODUCT(($M$7:$M$557=M383)*(ROW($M$7:$M$557)&lt;ROW(M383)))+1</f>
        <v>106</v>
      </c>
      <c r="O383" s="246" t="str">
        <f aca="false">IF(M383&gt;=0.13,"★★★ EXCELLENT",IF(M383&gt;=0.12,"★★  GOOD",IF(M383&gt;=0.07,"★  FAIR",IF(M383&gt;=0.025,"⚠  MARGINAL","✗  AVOID"))))</f>
        <v>★  FAIR</v>
      </c>
    </row>
    <row r="384" customFormat="false" ht="15" hidden="false" customHeight="true" outlineLevel="0" collapsed="false">
      <c r="A384" s="247" t="n">
        <v>42.7</v>
      </c>
      <c r="B384" s="248"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48"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48"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48"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48"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48"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48"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48"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48"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48"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48"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48" t="n">
        <f aca="false">MIN(B384:L384)</f>
        <v>0.0975438596491229</v>
      </c>
      <c r="N384" s="248" t="n">
        <f aca="false">SUMPRODUCT(($M$7:$M$557&gt;M384)*1)+SUMPRODUCT(($M$7:$M$557=M384)*(ROW($M$7:$M$557)&lt;ROW(M384)))+1</f>
        <v>93</v>
      </c>
      <c r="O384" s="248" t="str">
        <f aca="false">IF(M384&gt;=0.13,"★★★ EXCELLENT",IF(M384&gt;=0.12,"★★  GOOD",IF(M384&gt;=0.07,"★  FAIR",IF(M384&gt;=0.025,"⚠  MARGINAL","✗  AVOID"))))</f>
        <v>★  FAIR</v>
      </c>
    </row>
    <row r="385" customFormat="false" ht="15" hidden="false" customHeight="true" outlineLevel="0" collapsed="false">
      <c r="A385" s="245" t="n">
        <v>42.8</v>
      </c>
      <c r="B385" s="246"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46"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46"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46"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46"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46"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46"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46"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46"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46"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46"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46" t="n">
        <f aca="false">MIN(B385:L385)</f>
        <v>0.102456140350877</v>
      </c>
      <c r="N385" s="246" t="n">
        <f aca="false">SUMPRODUCT(($M$7:$M$557&gt;M385)*1)+SUMPRODUCT(($M$7:$M$557=M385)*(ROW($M$7:$M$557)&lt;ROW(M385)))+1</f>
        <v>80</v>
      </c>
      <c r="O385" s="246" t="str">
        <f aca="false">IF(M385&gt;=0.13,"★★★ EXCELLENT",IF(M385&gt;=0.12,"★★  GOOD",IF(M385&gt;=0.07,"★  FAIR",IF(M385&gt;=0.025,"⚠  MARGINAL","✗  AVOID"))))</f>
        <v>★  FAIR</v>
      </c>
    </row>
    <row r="386" customFormat="false" ht="15" hidden="false" customHeight="true" outlineLevel="0" collapsed="false">
      <c r="A386" s="247" t="n">
        <v>42.9</v>
      </c>
      <c r="B386" s="248"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48"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48"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48"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48"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48"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48"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48"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48"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48"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48"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48" t="n">
        <f aca="false">MIN(B386:L386)</f>
        <v>0.107368421052632</v>
      </c>
      <c r="N386" s="248" t="n">
        <f aca="false">SUMPRODUCT(($M$7:$M$557&gt;M386)*1)+SUMPRODUCT(($M$7:$M$557=M386)*(ROW($M$7:$M$557)&lt;ROW(M386)))+1</f>
        <v>68</v>
      </c>
      <c r="O386" s="248" t="str">
        <f aca="false">IF(M386&gt;=0.13,"★★★ EXCELLENT",IF(M386&gt;=0.12,"★★  GOOD",IF(M386&gt;=0.07,"★  FAIR",IF(M386&gt;=0.025,"⚠  MARGINAL","✗  AVOID"))))</f>
        <v>★  FAIR</v>
      </c>
    </row>
    <row r="387" customFormat="false" ht="15" hidden="false" customHeight="true" outlineLevel="0" collapsed="false">
      <c r="A387" s="245" t="n">
        <v>43</v>
      </c>
      <c r="B387" s="246"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46"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46"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46"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46"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46"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46"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46"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46"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46"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46"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46" t="n">
        <f aca="false">MIN(B387:L387)</f>
        <v>0.112280701754386</v>
      </c>
      <c r="N387" s="246" t="n">
        <f aca="false">SUMPRODUCT(($M$7:$M$557&gt;M387)*1)+SUMPRODUCT(($M$7:$M$557=M387)*(ROW($M$7:$M$557)&lt;ROW(M387)))+1</f>
        <v>57</v>
      </c>
      <c r="O387" s="246" t="str">
        <f aca="false">IF(M387&gt;=0.13,"★★★ EXCELLENT",IF(M387&gt;=0.12,"★★  GOOD",IF(M387&gt;=0.07,"★  FAIR",IF(M387&gt;=0.025,"⚠  MARGINAL","✗  AVOID"))))</f>
        <v>★  FAIR</v>
      </c>
    </row>
    <row r="388" customFormat="false" ht="15" hidden="false" customHeight="true" outlineLevel="0" collapsed="false">
      <c r="A388" s="247" t="n">
        <v>43.1</v>
      </c>
      <c r="B388" s="248"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48"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48"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48"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48"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48"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48"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48"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48"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48"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48"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48" t="n">
        <f aca="false">MIN(B388:L388)</f>
        <v>0.11719298245614</v>
      </c>
      <c r="N388" s="248" t="n">
        <f aca="false">SUMPRODUCT(($M$7:$M$557&gt;M388)*1)+SUMPRODUCT(($M$7:$M$557=M388)*(ROW($M$7:$M$557)&lt;ROW(M388)))+1</f>
        <v>45</v>
      </c>
      <c r="O388" s="248" t="str">
        <f aca="false">IF(M388&gt;=0.13,"★★★ EXCELLENT",IF(M388&gt;=0.12,"★★  GOOD",IF(M388&gt;=0.07,"★  FAIR",IF(M388&gt;=0.025,"⚠  MARGINAL","✗  AVOID"))))</f>
        <v>★  FAIR</v>
      </c>
    </row>
    <row r="389" customFormat="false" ht="15" hidden="false" customHeight="true" outlineLevel="0" collapsed="false">
      <c r="A389" s="245" t="n">
        <v>43.2</v>
      </c>
      <c r="B389" s="246"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46"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46"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46"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46"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46"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46"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46"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46"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46"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46"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46" t="n">
        <f aca="false">MIN(B389:L389)</f>
        <v>0.122105263157895</v>
      </c>
      <c r="N389" s="246" t="n">
        <f aca="false">SUMPRODUCT(($M$7:$M$557&gt;M389)*1)+SUMPRODUCT(($M$7:$M$557=M389)*(ROW($M$7:$M$557)&lt;ROW(M389)))+1</f>
        <v>35</v>
      </c>
      <c r="O389" s="246" t="str">
        <f aca="false">IF(M389&gt;=0.13,"★★★ EXCELLENT",IF(M389&gt;=0.12,"★★  GOOD",IF(M389&gt;=0.07,"★  FAIR",IF(M389&gt;=0.025,"⚠  MARGINAL","✗  AVOID"))))</f>
        <v>★★  GOOD</v>
      </c>
    </row>
    <row r="390" customFormat="false" ht="15" hidden="false" customHeight="true" outlineLevel="0" collapsed="false">
      <c r="A390" s="247" t="n">
        <v>43.3</v>
      </c>
      <c r="B390" s="248"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48"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48"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48"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48"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48"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48"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48"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48"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48"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48"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48" t="n">
        <f aca="false">MIN(B390:L390)</f>
        <v>0.127017543859649</v>
      </c>
      <c r="N390" s="248" t="n">
        <f aca="false">SUMPRODUCT(($M$7:$M$557&gt;M390)*1)+SUMPRODUCT(($M$7:$M$557=M390)*(ROW($M$7:$M$557)&lt;ROW(M390)))+1</f>
        <v>26</v>
      </c>
      <c r="O390" s="248" t="str">
        <f aca="false">IF(M390&gt;=0.13,"★★★ EXCELLENT",IF(M390&gt;=0.12,"★★  GOOD",IF(M390&gt;=0.07,"★  FAIR",IF(M390&gt;=0.025,"⚠  MARGINAL","✗  AVOID"))))</f>
        <v>★★  GOOD</v>
      </c>
    </row>
    <row r="391" customFormat="false" ht="15" hidden="false" customHeight="true" outlineLevel="0" collapsed="false">
      <c r="A391" s="245" t="n">
        <v>43.4</v>
      </c>
      <c r="B391" s="246"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46"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46"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46"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46"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46"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46"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46"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46"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46"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46"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46" t="n">
        <f aca="false">MIN(B391:L391)</f>
        <v>0.129543859649123</v>
      </c>
      <c r="N391" s="246" t="n">
        <f aca="false">SUMPRODUCT(($M$7:$M$557&gt;M391)*1)+SUMPRODUCT(($M$7:$M$557=M391)*(ROW($M$7:$M$557)&lt;ROW(M391)))+1</f>
        <v>22</v>
      </c>
      <c r="O391" s="246" t="str">
        <f aca="false">IF(M391&gt;=0.13,"★★★ EXCELLENT",IF(M391&gt;=0.12,"★★  GOOD",IF(M391&gt;=0.07,"★  FAIR",IF(M391&gt;=0.025,"⚠  MARGINAL","✗  AVOID"))))</f>
        <v>★★  GOOD</v>
      </c>
    </row>
    <row r="392" customFormat="false" ht="15" hidden="false" customHeight="true" outlineLevel="0" collapsed="false">
      <c r="A392" s="247" t="n">
        <v>43.5</v>
      </c>
      <c r="B392" s="248"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48"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48"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48"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48"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48"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48"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48"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48"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48"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48"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48" t="n">
        <f aca="false">MIN(B392:L392)</f>
        <v>0.119473684210526</v>
      </c>
      <c r="N392" s="248" t="n">
        <f aca="false">SUMPRODUCT(($M$7:$M$557&gt;M392)*1)+SUMPRODUCT(($M$7:$M$557=M392)*(ROW($M$7:$M$557)&lt;ROW(M392)))+1</f>
        <v>41</v>
      </c>
      <c r="O392" s="248" t="str">
        <f aca="false">IF(M392&gt;=0.13,"★★★ EXCELLENT",IF(M392&gt;=0.12,"★★  GOOD",IF(M392&gt;=0.07,"★  FAIR",IF(M392&gt;=0.025,"⚠  MARGINAL","✗  AVOID"))))</f>
        <v>★  FAIR</v>
      </c>
    </row>
    <row r="393" customFormat="false" ht="15" hidden="false" customHeight="true" outlineLevel="0" collapsed="false">
      <c r="A393" s="245" t="n">
        <v>43.6</v>
      </c>
      <c r="B393" s="246"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46"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46"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46"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46"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46"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46"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46"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46"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46"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46"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46" t="n">
        <f aca="false">MIN(B393:L393)</f>
        <v>0.10940350877193</v>
      </c>
      <c r="N393" s="246" t="n">
        <f aca="false">SUMPRODUCT(($M$7:$M$557&gt;M393)*1)+SUMPRODUCT(($M$7:$M$557=M393)*(ROW($M$7:$M$557)&lt;ROW(M393)))+1</f>
        <v>64</v>
      </c>
      <c r="O393" s="246" t="str">
        <f aca="false">IF(M393&gt;=0.13,"★★★ EXCELLENT",IF(M393&gt;=0.12,"★★  GOOD",IF(M393&gt;=0.07,"★  FAIR",IF(M393&gt;=0.025,"⚠  MARGINAL","✗  AVOID"))))</f>
        <v>★  FAIR</v>
      </c>
    </row>
    <row r="394" customFormat="false" ht="15" hidden="false" customHeight="true" outlineLevel="0" collapsed="false">
      <c r="A394" s="247" t="n">
        <v>43.7</v>
      </c>
      <c r="B394" s="248"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48"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48"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48"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48"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48"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48"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48"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48"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48"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48"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48" t="n">
        <f aca="false">MIN(B394:L394)</f>
        <v>0.0993333333333331</v>
      </c>
      <c r="N394" s="248" t="n">
        <f aca="false">SUMPRODUCT(($M$7:$M$557&gt;M394)*1)+SUMPRODUCT(($M$7:$M$557=M394)*(ROW($M$7:$M$557)&lt;ROW(M394)))+1</f>
        <v>88</v>
      </c>
      <c r="O394" s="248" t="str">
        <f aca="false">IF(M394&gt;=0.13,"★★★ EXCELLENT",IF(M394&gt;=0.12,"★★  GOOD",IF(M394&gt;=0.07,"★  FAIR",IF(M394&gt;=0.025,"⚠  MARGINAL","✗  AVOID"))))</f>
        <v>★  FAIR</v>
      </c>
    </row>
    <row r="395" customFormat="false" ht="15" hidden="false" customHeight="true" outlineLevel="0" collapsed="false">
      <c r="A395" s="245" t="n">
        <v>43.8</v>
      </c>
      <c r="B395" s="246"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46"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46"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46"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46"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46"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46"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46"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46"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46"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46"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46" t="n">
        <f aca="false">MIN(B395:L395)</f>
        <v>0.0892631578947372</v>
      </c>
      <c r="N395" s="246" t="n">
        <f aca="false">SUMPRODUCT(($M$7:$M$557&gt;M395)*1)+SUMPRODUCT(($M$7:$M$557=M395)*(ROW($M$7:$M$557)&lt;ROW(M395)))+1</f>
        <v>115</v>
      </c>
      <c r="O395" s="246" t="str">
        <f aca="false">IF(M395&gt;=0.13,"★★★ EXCELLENT",IF(M395&gt;=0.12,"★★  GOOD",IF(M395&gt;=0.07,"★  FAIR",IF(M395&gt;=0.025,"⚠  MARGINAL","✗  AVOID"))))</f>
        <v>★  FAIR</v>
      </c>
    </row>
    <row r="396" customFormat="false" ht="15" hidden="false" customHeight="true" outlineLevel="0" collapsed="false">
      <c r="A396" s="247" t="n">
        <v>43.9</v>
      </c>
      <c r="B396" s="248"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48"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48"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48"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48"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48"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48"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48"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48"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48"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48"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48" t="n">
        <f aca="false">MIN(B396:L396)</f>
        <v>0.0791929824561413</v>
      </c>
      <c r="N396" s="248" t="n">
        <f aca="false">SUMPRODUCT(($M$7:$M$557&gt;M396)*1)+SUMPRODUCT(($M$7:$M$557=M396)*(ROW($M$7:$M$557)&lt;ROW(M396)))+1</f>
        <v>145</v>
      </c>
      <c r="O396" s="248" t="str">
        <f aca="false">IF(M396&gt;=0.13,"★★★ EXCELLENT",IF(M396&gt;=0.12,"★★  GOOD",IF(M396&gt;=0.07,"★  FAIR",IF(M396&gt;=0.025,"⚠  MARGINAL","✗  AVOID"))))</f>
        <v>★  FAIR</v>
      </c>
    </row>
    <row r="397" customFormat="false" ht="15" hidden="false" customHeight="true" outlineLevel="0" collapsed="false">
      <c r="A397" s="245" t="n">
        <v>44</v>
      </c>
      <c r="B397" s="246"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46"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46"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46"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46"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46"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46"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46"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46"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46"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46"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46" t="n">
        <f aca="false">MIN(B397:L397)</f>
        <v>0.0691228070175436</v>
      </c>
      <c r="N397" s="246" t="n">
        <f aca="false">SUMPRODUCT(($M$7:$M$557&gt;M397)*1)+SUMPRODUCT(($M$7:$M$557=M397)*(ROW($M$7:$M$557)&lt;ROW(M397)))+1</f>
        <v>175</v>
      </c>
      <c r="O397" s="246" t="str">
        <f aca="false">IF(M397&gt;=0.13,"★★★ EXCELLENT",IF(M397&gt;=0.12,"★★  GOOD",IF(M397&gt;=0.07,"★  FAIR",IF(M397&gt;=0.025,"⚠  MARGINAL","✗  AVOID"))))</f>
        <v>⚠  MARGINAL</v>
      </c>
    </row>
    <row r="398" customFormat="false" ht="15" hidden="false" customHeight="true" outlineLevel="0" collapsed="false">
      <c r="A398" s="247" t="n">
        <v>44.1</v>
      </c>
      <c r="B398" s="248"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48"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48"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48"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48"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48"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48"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48"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48"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48"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48"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48" t="n">
        <f aca="false">MIN(B398:L398)</f>
        <v>0.0590526315789468</v>
      </c>
      <c r="N398" s="248" t="n">
        <f aca="false">SUMPRODUCT(($M$7:$M$557&gt;M398)*1)+SUMPRODUCT(($M$7:$M$557=M398)*(ROW($M$7:$M$557)&lt;ROW(M398)))+1</f>
        <v>206</v>
      </c>
      <c r="O398" s="248" t="str">
        <f aca="false">IF(M398&gt;=0.13,"★★★ EXCELLENT",IF(M398&gt;=0.12,"★★  GOOD",IF(M398&gt;=0.07,"★  FAIR",IF(M398&gt;=0.025,"⚠  MARGINAL","✗  AVOID"))))</f>
        <v>⚠  MARGINAL</v>
      </c>
    </row>
    <row r="399" customFormat="false" ht="15" hidden="false" customHeight="true" outlineLevel="0" collapsed="false">
      <c r="A399" s="245" t="n">
        <v>44.2</v>
      </c>
      <c r="B399" s="246"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46"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46"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46"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46"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46"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46"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46"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46"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46"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46"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46" t="n">
        <f aca="false">MIN(B399:L399)</f>
        <v>0.0489824561403509</v>
      </c>
      <c r="N399" s="246" t="n">
        <f aca="false">SUMPRODUCT(($M$7:$M$557&gt;M399)*1)+SUMPRODUCT(($M$7:$M$557=M399)*(ROW($M$7:$M$557)&lt;ROW(M399)))+1</f>
        <v>236</v>
      </c>
      <c r="O399" s="246" t="str">
        <f aca="false">IF(M399&gt;=0.13,"★★★ EXCELLENT",IF(M399&gt;=0.12,"★★  GOOD",IF(M399&gt;=0.07,"★  FAIR",IF(M399&gt;=0.025,"⚠  MARGINAL","✗  AVOID"))))</f>
        <v>⚠  MARGINAL</v>
      </c>
    </row>
    <row r="400" customFormat="false" ht="15" hidden="false" customHeight="true" outlineLevel="0" collapsed="false">
      <c r="A400" s="247" t="n">
        <v>44.3</v>
      </c>
      <c r="B400" s="248"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48"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48"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48"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48"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48"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48"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48"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48"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48"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48"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48" t="n">
        <f aca="false">MIN(B400:L400)</f>
        <v>0.038912280701755</v>
      </c>
      <c r="N400" s="248" t="n">
        <f aca="false">SUMPRODUCT(($M$7:$M$557&gt;M400)*1)+SUMPRODUCT(($M$7:$M$557=M400)*(ROW($M$7:$M$557)&lt;ROW(M400)))+1</f>
        <v>267</v>
      </c>
      <c r="O400" s="248" t="str">
        <f aca="false">IF(M400&gt;=0.13,"★★★ EXCELLENT",IF(M400&gt;=0.12,"★★  GOOD",IF(M400&gt;=0.07,"★  FAIR",IF(M400&gt;=0.025,"⚠  MARGINAL","✗  AVOID"))))</f>
        <v>⚠  MARGINAL</v>
      </c>
    </row>
    <row r="401" customFormat="false" ht="15" hidden="false" customHeight="true" outlineLevel="0" collapsed="false">
      <c r="A401" s="245" t="n">
        <v>44.4</v>
      </c>
      <c r="B401" s="246"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46"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46"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46"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46"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46"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46"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46"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46"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46"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46"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46" t="n">
        <f aca="false">MIN(B401:L401)</f>
        <v>0.0288421052631582</v>
      </c>
      <c r="N401" s="246" t="n">
        <f aca="false">SUMPRODUCT(($M$7:$M$557&gt;M401)*1)+SUMPRODUCT(($M$7:$M$557=M401)*(ROW($M$7:$M$557)&lt;ROW(M401)))+1</f>
        <v>296</v>
      </c>
      <c r="O401" s="246" t="str">
        <f aca="false">IF(M401&gt;=0.13,"★★★ EXCELLENT",IF(M401&gt;=0.12,"★★  GOOD",IF(M401&gt;=0.07,"★  FAIR",IF(M401&gt;=0.025,"⚠  MARGINAL","✗  AVOID"))))</f>
        <v>⚠  MARGINAL</v>
      </c>
    </row>
    <row r="402" customFormat="false" ht="15" hidden="false" customHeight="true" outlineLevel="0" collapsed="false">
      <c r="A402" s="247" t="n">
        <v>44.5</v>
      </c>
      <c r="B402" s="248"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48"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48"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48"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48"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48"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48"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48"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48"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48"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48"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48" t="n">
        <f aca="false">MIN(B402:L402)</f>
        <v>0.0187719298245614</v>
      </c>
      <c r="N402" s="248" t="n">
        <f aca="false">SUMPRODUCT(($M$7:$M$557&gt;M402)*1)+SUMPRODUCT(($M$7:$M$557=M402)*(ROW($M$7:$M$557)&lt;ROW(M402)))+1</f>
        <v>327</v>
      </c>
      <c r="O402" s="248" t="str">
        <f aca="false">IF(M402&gt;=0.13,"★★★ EXCELLENT",IF(M402&gt;=0.12,"★★  GOOD",IF(M402&gt;=0.07,"★  FAIR",IF(M402&gt;=0.025,"⚠  MARGINAL","✗  AVOID"))))</f>
        <v>✗  AVOID</v>
      </c>
    </row>
    <row r="403" customFormat="false" ht="15" hidden="false" customHeight="true" outlineLevel="0" collapsed="false">
      <c r="A403" s="245" t="n">
        <v>44.6</v>
      </c>
      <c r="B403" s="246"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46"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46"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46"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46"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46"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46"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46"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46"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46"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46"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46" t="n">
        <f aca="false">MIN(B403:L403)</f>
        <v>0.00870175438596466</v>
      </c>
      <c r="N403" s="246" t="n">
        <f aca="false">SUMPRODUCT(($M$7:$M$557&gt;M403)*1)+SUMPRODUCT(($M$7:$M$557=M403)*(ROW($M$7:$M$557)&lt;ROW(M403)))+1</f>
        <v>357</v>
      </c>
      <c r="O403" s="246" t="str">
        <f aca="false">IF(M403&gt;=0.13,"★★★ EXCELLENT",IF(M403&gt;=0.12,"★★  GOOD",IF(M403&gt;=0.07,"★  FAIR",IF(M403&gt;=0.025,"⚠  MARGINAL","✗  AVOID"))))</f>
        <v>✗  AVOID</v>
      </c>
    </row>
    <row r="404" customFormat="false" ht="15" hidden="false" customHeight="true" outlineLevel="0" collapsed="false">
      <c r="A404" s="247" t="n">
        <v>44.7</v>
      </c>
      <c r="B404" s="248"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48"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48"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48"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48"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48"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48"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48"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48"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48"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48"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48" t="n">
        <f aca="false">MIN(B404:L404)</f>
        <v>0</v>
      </c>
      <c r="N404" s="248" t="n">
        <f aca="false">SUMPRODUCT(($M$7:$M$557&gt;M404)*1)+SUMPRODUCT(($M$7:$M$557=M404)*(ROW($M$7:$M$557)&lt;ROW(M404)))+1</f>
        <v>492</v>
      </c>
      <c r="O404" s="248" t="str">
        <f aca="false">IF(M404&gt;=0.13,"★★★ EXCELLENT",IF(M404&gt;=0.12,"★★  GOOD",IF(M404&gt;=0.07,"★  FAIR",IF(M404&gt;=0.025,"⚠  MARGINAL","✗  AVOID"))))</f>
        <v>✗  AVOID</v>
      </c>
    </row>
    <row r="405" customFormat="false" ht="15" hidden="false" customHeight="true" outlineLevel="0" collapsed="false">
      <c r="A405" s="245" t="n">
        <v>44.8</v>
      </c>
      <c r="B405" s="246"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46"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46"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46"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46"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46"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46"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46"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46"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46"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46"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46" t="n">
        <f aca="false">MIN(B405:L405)</f>
        <v>0</v>
      </c>
      <c r="N405" s="246" t="n">
        <f aca="false">SUMPRODUCT(($M$7:$M$557&gt;M405)*1)+SUMPRODUCT(($M$7:$M$557=M405)*(ROW($M$7:$M$557)&lt;ROW(M405)))+1</f>
        <v>493</v>
      </c>
      <c r="O405" s="246" t="str">
        <f aca="false">IF(M405&gt;=0.13,"★★★ EXCELLENT",IF(M405&gt;=0.12,"★★  GOOD",IF(M405&gt;=0.07,"★  FAIR",IF(M405&gt;=0.025,"⚠  MARGINAL","✗  AVOID"))))</f>
        <v>✗  AVOID</v>
      </c>
    </row>
    <row r="406" customFormat="false" ht="15" hidden="false" customHeight="true" outlineLevel="0" collapsed="false">
      <c r="A406" s="247" t="n">
        <v>44.9</v>
      </c>
      <c r="B406" s="248"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48"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48"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48"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48"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48"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48"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48"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48"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48"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48"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48" t="n">
        <f aca="false">MIN(B406:L406)</f>
        <v>0</v>
      </c>
      <c r="N406" s="248" t="n">
        <f aca="false">SUMPRODUCT(($M$7:$M$557&gt;M406)*1)+SUMPRODUCT(($M$7:$M$557=M406)*(ROW($M$7:$M$557)&lt;ROW(M406)))+1</f>
        <v>494</v>
      </c>
      <c r="O406" s="248" t="str">
        <f aca="false">IF(M406&gt;=0.13,"★★★ EXCELLENT",IF(M406&gt;=0.12,"★★  GOOD",IF(M406&gt;=0.07,"★  FAIR",IF(M406&gt;=0.025,"⚠  MARGINAL","✗  AVOID"))))</f>
        <v>✗  AVOID</v>
      </c>
    </row>
    <row r="407" customFormat="false" ht="15" hidden="false" customHeight="true" outlineLevel="0" collapsed="false">
      <c r="A407" s="245" t="n">
        <v>45</v>
      </c>
      <c r="B407" s="246"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46"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46"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46"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46"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46"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46"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46"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46"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46"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46"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46" t="n">
        <f aca="false">MIN(B407:L407)</f>
        <v>0</v>
      </c>
      <c r="N407" s="246" t="n">
        <f aca="false">SUMPRODUCT(($M$7:$M$557&gt;M407)*1)+SUMPRODUCT(($M$7:$M$557=M407)*(ROW($M$7:$M$557)&lt;ROW(M407)))+1</f>
        <v>495</v>
      </c>
      <c r="O407" s="246" t="str">
        <f aca="false">IF(M407&gt;=0.13,"★★★ EXCELLENT",IF(M407&gt;=0.12,"★★  GOOD",IF(M407&gt;=0.07,"★  FAIR",IF(M407&gt;=0.025,"⚠  MARGINAL","✗  AVOID"))))</f>
        <v>✗  AVOID</v>
      </c>
    </row>
    <row r="408" customFormat="false" ht="15" hidden="false" customHeight="true" outlineLevel="0" collapsed="false">
      <c r="A408" s="247" t="n">
        <v>45.1</v>
      </c>
      <c r="B408" s="248"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48"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48"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48"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48"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48"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48"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48"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48"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48"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48"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48" t="n">
        <f aca="false">MIN(B408:L408)</f>
        <v>0</v>
      </c>
      <c r="N408" s="248" t="n">
        <f aca="false">SUMPRODUCT(($M$7:$M$557&gt;M408)*1)+SUMPRODUCT(($M$7:$M$557=M408)*(ROW($M$7:$M$557)&lt;ROW(M408)))+1</f>
        <v>496</v>
      </c>
      <c r="O408" s="248" t="str">
        <f aca="false">IF(M408&gt;=0.13,"★★★ EXCELLENT",IF(M408&gt;=0.12,"★★  GOOD",IF(M408&gt;=0.07,"★  FAIR",IF(M408&gt;=0.025,"⚠  MARGINAL","✗  AVOID"))))</f>
        <v>✗  AVOID</v>
      </c>
    </row>
    <row r="409" customFormat="false" ht="15" hidden="false" customHeight="true" outlineLevel="0" collapsed="false">
      <c r="A409" s="245" t="n">
        <v>45.2</v>
      </c>
      <c r="B409" s="246"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46"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46"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46"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46"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46"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46"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46"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46"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46"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46"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46" t="n">
        <f aca="false">MIN(B409:L409)</f>
        <v>0</v>
      </c>
      <c r="N409" s="246" t="n">
        <f aca="false">SUMPRODUCT(($M$7:$M$557&gt;M409)*1)+SUMPRODUCT(($M$7:$M$557=M409)*(ROW($M$7:$M$557)&lt;ROW(M409)))+1</f>
        <v>497</v>
      </c>
      <c r="O409" s="246" t="str">
        <f aca="false">IF(M409&gt;=0.13,"★★★ EXCELLENT",IF(M409&gt;=0.12,"★★  GOOD",IF(M409&gt;=0.07,"★  FAIR",IF(M409&gt;=0.025,"⚠  MARGINAL","✗  AVOID"))))</f>
        <v>✗  AVOID</v>
      </c>
    </row>
    <row r="410" customFormat="false" ht="15" hidden="false" customHeight="true" outlineLevel="0" collapsed="false">
      <c r="A410" s="247" t="n">
        <v>45.3</v>
      </c>
      <c r="B410" s="248"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48"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48"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48"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48"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48"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48"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48"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48"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48"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48"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48" t="n">
        <f aca="false">MIN(B410:L410)</f>
        <v>0</v>
      </c>
      <c r="N410" s="248" t="n">
        <f aca="false">SUMPRODUCT(($M$7:$M$557&gt;M410)*1)+SUMPRODUCT(($M$7:$M$557=M410)*(ROW($M$7:$M$557)&lt;ROW(M410)))+1</f>
        <v>498</v>
      </c>
      <c r="O410" s="248" t="str">
        <f aca="false">IF(M410&gt;=0.13,"★★★ EXCELLENT",IF(M410&gt;=0.12,"★★  GOOD",IF(M410&gt;=0.07,"★  FAIR",IF(M410&gt;=0.025,"⚠  MARGINAL","✗  AVOID"))))</f>
        <v>✗  AVOID</v>
      </c>
    </row>
    <row r="411" customFormat="false" ht="15" hidden="false" customHeight="true" outlineLevel="0" collapsed="false">
      <c r="A411" s="245" t="n">
        <v>45.4</v>
      </c>
      <c r="B411" s="246"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46"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46"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46"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46"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46"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46"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46"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46"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46"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46"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46" t="n">
        <f aca="false">MIN(B411:L411)</f>
        <v>0</v>
      </c>
      <c r="N411" s="246" t="n">
        <f aca="false">SUMPRODUCT(($M$7:$M$557&gt;M411)*1)+SUMPRODUCT(($M$7:$M$557=M411)*(ROW($M$7:$M$557)&lt;ROW(M411)))+1</f>
        <v>499</v>
      </c>
      <c r="O411" s="246" t="str">
        <f aca="false">IF(M411&gt;=0.13,"★★★ EXCELLENT",IF(M411&gt;=0.12,"★★  GOOD",IF(M411&gt;=0.07,"★  FAIR",IF(M411&gt;=0.025,"⚠  MARGINAL","✗  AVOID"))))</f>
        <v>✗  AVOID</v>
      </c>
    </row>
    <row r="412" customFormat="false" ht="15" hidden="false" customHeight="true" outlineLevel="0" collapsed="false">
      <c r="A412" s="247" t="n">
        <v>45.5</v>
      </c>
      <c r="B412" s="248"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48"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48"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48"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48"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48"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48"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48"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48"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48"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48"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48" t="n">
        <f aca="false">MIN(B412:L412)</f>
        <v>0</v>
      </c>
      <c r="N412" s="248" t="n">
        <f aca="false">SUMPRODUCT(($M$7:$M$557&gt;M412)*1)+SUMPRODUCT(($M$7:$M$557=M412)*(ROW($M$7:$M$557)&lt;ROW(M412)))+1</f>
        <v>500</v>
      </c>
      <c r="O412" s="248" t="str">
        <f aca="false">IF(M412&gt;=0.13,"★★★ EXCELLENT",IF(M412&gt;=0.12,"★★  GOOD",IF(M412&gt;=0.07,"★  FAIR",IF(M412&gt;=0.025,"⚠  MARGINAL","✗  AVOID"))))</f>
        <v>✗  AVOID</v>
      </c>
    </row>
    <row r="413" customFormat="false" ht="15" hidden="false" customHeight="true" outlineLevel="0" collapsed="false">
      <c r="A413" s="245" t="n">
        <v>45.6</v>
      </c>
      <c r="B413" s="246"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46"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46"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46"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46"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46"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46"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46"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46"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46"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46"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46" t="n">
        <f aca="false">MIN(B413:L413)</f>
        <v>0</v>
      </c>
      <c r="N413" s="246" t="n">
        <f aca="false">SUMPRODUCT(($M$7:$M$557&gt;M413)*1)+SUMPRODUCT(($M$7:$M$557=M413)*(ROW($M$7:$M$557)&lt;ROW(M413)))+1</f>
        <v>501</v>
      </c>
      <c r="O413" s="246" t="str">
        <f aca="false">IF(M413&gt;=0.13,"★★★ EXCELLENT",IF(M413&gt;=0.12,"★★  GOOD",IF(M413&gt;=0.07,"★  FAIR",IF(M413&gt;=0.025,"⚠  MARGINAL","✗  AVOID"))))</f>
        <v>✗  AVOID</v>
      </c>
    </row>
    <row r="414" customFormat="false" ht="15" hidden="false" customHeight="true" outlineLevel="0" collapsed="false">
      <c r="A414" s="247" t="n">
        <v>45.7</v>
      </c>
      <c r="B414" s="248"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48"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48"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48"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48"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48"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48"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48"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48"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48"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48"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48" t="n">
        <f aca="false">MIN(B414:L414)</f>
        <v>0</v>
      </c>
      <c r="N414" s="248" t="n">
        <f aca="false">SUMPRODUCT(($M$7:$M$557&gt;M414)*1)+SUMPRODUCT(($M$7:$M$557=M414)*(ROW($M$7:$M$557)&lt;ROW(M414)))+1</f>
        <v>502</v>
      </c>
      <c r="O414" s="248" t="str">
        <f aca="false">IF(M414&gt;=0.13,"★★★ EXCELLENT",IF(M414&gt;=0.12,"★★  GOOD",IF(M414&gt;=0.07,"★  FAIR",IF(M414&gt;=0.025,"⚠  MARGINAL","✗  AVOID"))))</f>
        <v>✗  AVOID</v>
      </c>
    </row>
    <row r="415" customFormat="false" ht="15" hidden="false" customHeight="true" outlineLevel="0" collapsed="false">
      <c r="A415" s="245" t="n">
        <v>45.8</v>
      </c>
      <c r="B415" s="246"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46"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46"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46"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46"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46"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46"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46"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46"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46"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46"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46" t="n">
        <f aca="false">MIN(B415:L415)</f>
        <v>0</v>
      </c>
      <c r="N415" s="246" t="n">
        <f aca="false">SUMPRODUCT(($M$7:$M$557&gt;M415)*1)+SUMPRODUCT(($M$7:$M$557=M415)*(ROW($M$7:$M$557)&lt;ROW(M415)))+1</f>
        <v>503</v>
      </c>
      <c r="O415" s="246" t="str">
        <f aca="false">IF(M415&gt;=0.13,"★★★ EXCELLENT",IF(M415&gt;=0.12,"★★  GOOD",IF(M415&gt;=0.07,"★  FAIR",IF(M415&gt;=0.025,"⚠  MARGINAL","✗  AVOID"))))</f>
        <v>✗  AVOID</v>
      </c>
    </row>
    <row r="416" customFormat="false" ht="15" hidden="false" customHeight="true" outlineLevel="0" collapsed="false">
      <c r="A416" s="247" t="n">
        <v>45.9</v>
      </c>
      <c r="B416" s="248"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48"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48"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48"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48"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48"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48"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48"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48"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48"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48"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48" t="n">
        <f aca="false">MIN(B416:L416)</f>
        <v>0.0094736842105263</v>
      </c>
      <c r="N416" s="248" t="n">
        <f aca="false">SUMPRODUCT(($M$7:$M$557&gt;M416)*1)+SUMPRODUCT(($M$7:$M$557=M416)*(ROW($M$7:$M$557)&lt;ROW(M416)))+1</f>
        <v>354</v>
      </c>
      <c r="O416" s="248" t="str">
        <f aca="false">IF(M416&gt;=0.13,"★★★ EXCELLENT",IF(M416&gt;=0.12,"★★  GOOD",IF(M416&gt;=0.07,"★  FAIR",IF(M416&gt;=0.025,"⚠  MARGINAL","✗  AVOID"))))</f>
        <v>✗  AVOID</v>
      </c>
    </row>
    <row r="417" customFormat="false" ht="15" hidden="false" customHeight="true" outlineLevel="0" collapsed="false">
      <c r="A417" s="245" t="n">
        <v>46</v>
      </c>
      <c r="B417" s="246"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46"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46"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46"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46"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46"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46"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46"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46"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46"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46"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46" t="n">
        <f aca="false">MIN(B417:L417)</f>
        <v>0.0192982456140349</v>
      </c>
      <c r="N417" s="246" t="n">
        <f aca="false">SUMPRODUCT(($M$7:$M$557&gt;M417)*1)+SUMPRODUCT(($M$7:$M$557=M417)*(ROW($M$7:$M$557)&lt;ROW(M417)))+1</f>
        <v>325</v>
      </c>
      <c r="O417" s="246" t="str">
        <f aca="false">IF(M417&gt;=0.13,"★★★ EXCELLENT",IF(M417&gt;=0.12,"★★  GOOD",IF(M417&gt;=0.07,"★  FAIR",IF(M417&gt;=0.025,"⚠  MARGINAL","✗  AVOID"))))</f>
        <v>✗  AVOID</v>
      </c>
    </row>
    <row r="418" customFormat="false" ht="15" hidden="false" customHeight="true" outlineLevel="0" collapsed="false">
      <c r="A418" s="247" t="n">
        <v>46.1</v>
      </c>
      <c r="B418" s="248"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48"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48"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48"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48"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48"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48"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48"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48"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48"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48"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48" t="n">
        <f aca="false">MIN(B418:L418)</f>
        <v>0.0291228070175436</v>
      </c>
      <c r="N418" s="248" t="n">
        <f aca="false">SUMPRODUCT(($M$7:$M$557&gt;M418)*1)+SUMPRODUCT(($M$7:$M$557=M418)*(ROW($M$7:$M$557)&lt;ROW(M418)))+1</f>
        <v>295</v>
      </c>
      <c r="O418" s="248" t="str">
        <f aca="false">IF(M418&gt;=0.13,"★★★ EXCELLENT",IF(M418&gt;=0.12,"★★  GOOD",IF(M418&gt;=0.07,"★  FAIR",IF(M418&gt;=0.025,"⚠  MARGINAL","✗  AVOID"))))</f>
        <v>⚠  MARGINAL</v>
      </c>
    </row>
    <row r="419" customFormat="false" ht="15" hidden="false" customHeight="true" outlineLevel="0" collapsed="false">
      <c r="A419" s="245" t="n">
        <v>46.2</v>
      </c>
      <c r="B419" s="246"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46"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46"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46"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46"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46"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46"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46"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46"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46"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46"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46" t="n">
        <f aca="false">MIN(B419:L419)</f>
        <v>0.0389473684210531</v>
      </c>
      <c r="N419" s="246" t="n">
        <f aca="false">SUMPRODUCT(($M$7:$M$557&gt;M419)*1)+SUMPRODUCT(($M$7:$M$557=M419)*(ROW($M$7:$M$557)&lt;ROW(M419)))+1</f>
        <v>266</v>
      </c>
      <c r="O419" s="246" t="str">
        <f aca="false">IF(M419&gt;=0.13,"★★★ EXCELLENT",IF(M419&gt;=0.12,"★★  GOOD",IF(M419&gt;=0.07,"★  FAIR",IF(M419&gt;=0.025,"⚠  MARGINAL","✗  AVOID"))))</f>
        <v>⚠  MARGINAL</v>
      </c>
    </row>
    <row r="420" customFormat="false" ht="15" hidden="false" customHeight="true" outlineLevel="0" collapsed="false">
      <c r="A420" s="247" t="n">
        <v>46.3</v>
      </c>
      <c r="B420" s="248"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48"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48"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48"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48"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48"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48"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48"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48"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48"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48"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48" t="n">
        <f aca="false">MIN(B420:L420)</f>
        <v>0.0487719298245608</v>
      </c>
      <c r="N420" s="248" t="n">
        <f aca="false">SUMPRODUCT(($M$7:$M$557&gt;M420)*1)+SUMPRODUCT(($M$7:$M$557=M420)*(ROW($M$7:$M$557)&lt;ROW(M420)))+1</f>
        <v>237</v>
      </c>
      <c r="O420" s="248" t="str">
        <f aca="false">IF(M420&gt;=0.13,"★★★ EXCELLENT",IF(M420&gt;=0.12,"★★  GOOD",IF(M420&gt;=0.07,"★  FAIR",IF(M420&gt;=0.025,"⚠  MARGINAL","✗  AVOID"))))</f>
        <v>⚠  MARGINAL</v>
      </c>
    </row>
    <row r="421" customFormat="false" ht="15" hidden="false" customHeight="true" outlineLevel="0" collapsed="false">
      <c r="A421" s="245" t="n">
        <v>46.4</v>
      </c>
      <c r="B421" s="246"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46"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46"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46"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46"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46"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46"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46"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46"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46"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46"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46" t="n">
        <f aca="false">MIN(B421:L421)</f>
        <v>0.0585964912280703</v>
      </c>
      <c r="N421" s="246" t="n">
        <f aca="false">SUMPRODUCT(($M$7:$M$557&gt;M421)*1)+SUMPRODUCT(($M$7:$M$557=M421)*(ROW($M$7:$M$557)&lt;ROW(M421)))+1</f>
        <v>207</v>
      </c>
      <c r="O421" s="246" t="str">
        <f aca="false">IF(M421&gt;=0.13,"★★★ EXCELLENT",IF(M421&gt;=0.12,"★★  GOOD",IF(M421&gt;=0.07,"★  FAIR",IF(M421&gt;=0.025,"⚠  MARGINAL","✗  AVOID"))))</f>
        <v>⚠  MARGINAL</v>
      </c>
    </row>
    <row r="422" customFormat="false" ht="15" hidden="false" customHeight="true" outlineLevel="0" collapsed="false">
      <c r="A422" s="247" t="n">
        <v>46.5</v>
      </c>
      <c r="B422" s="248"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48"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48"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48"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48"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48"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48"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48"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48"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48"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48"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48" t="n">
        <f aca="false">MIN(B422:L422)</f>
        <v>0.0684210526315789</v>
      </c>
      <c r="N422" s="248" t="n">
        <f aca="false">SUMPRODUCT(($M$7:$M$557&gt;M422)*1)+SUMPRODUCT(($M$7:$M$557=M422)*(ROW($M$7:$M$557)&lt;ROW(M422)))+1</f>
        <v>178</v>
      </c>
      <c r="O422" s="248" t="str">
        <f aca="false">IF(M422&gt;=0.13,"★★★ EXCELLENT",IF(M422&gt;=0.12,"★★  GOOD",IF(M422&gt;=0.07,"★  FAIR",IF(M422&gt;=0.025,"⚠  MARGINAL","✗  AVOID"))))</f>
        <v>⚠  MARGINAL</v>
      </c>
    </row>
    <row r="423" customFormat="false" ht="15" hidden="false" customHeight="true" outlineLevel="0" collapsed="false">
      <c r="A423" s="245" t="n">
        <v>46.6</v>
      </c>
      <c r="B423" s="246"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46"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46"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46"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46"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46"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46"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46"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46"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46"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46"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46" t="n">
        <f aca="false">MIN(B423:L423)</f>
        <v>0.0782456140350876</v>
      </c>
      <c r="N423" s="246" t="n">
        <f aca="false">SUMPRODUCT(($M$7:$M$557&gt;M423)*1)+SUMPRODUCT(($M$7:$M$557=M423)*(ROW($M$7:$M$557)&lt;ROW(M423)))+1</f>
        <v>148</v>
      </c>
      <c r="O423" s="246" t="str">
        <f aca="false">IF(M423&gt;=0.13,"★★★ EXCELLENT",IF(M423&gt;=0.12,"★★  GOOD",IF(M423&gt;=0.07,"★  FAIR",IF(M423&gt;=0.025,"⚠  MARGINAL","✗  AVOID"))))</f>
        <v>★  FAIR</v>
      </c>
    </row>
    <row r="424" customFormat="false" ht="15" hidden="false" customHeight="true" outlineLevel="0" collapsed="false">
      <c r="A424" s="247" t="n">
        <v>46.7</v>
      </c>
      <c r="B424" s="248"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48"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48"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48"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48"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48"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48"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48"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48"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48"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48"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48" t="n">
        <f aca="false">MIN(B424:L424)</f>
        <v>0.0880701754385971</v>
      </c>
      <c r="N424" s="248" t="n">
        <f aca="false">SUMPRODUCT(($M$7:$M$557&gt;M424)*1)+SUMPRODUCT(($M$7:$M$557=M424)*(ROW($M$7:$M$557)&lt;ROW(M424)))+1</f>
        <v>119</v>
      </c>
      <c r="O424" s="248" t="str">
        <f aca="false">IF(M424&gt;=0.13,"★★★ EXCELLENT",IF(M424&gt;=0.12,"★★  GOOD",IF(M424&gt;=0.07,"★  FAIR",IF(M424&gt;=0.025,"⚠  MARGINAL","✗  AVOID"))))</f>
        <v>★  FAIR</v>
      </c>
    </row>
    <row r="425" customFormat="false" ht="15" hidden="false" customHeight="true" outlineLevel="0" collapsed="false">
      <c r="A425" s="245" t="n">
        <v>46.8</v>
      </c>
      <c r="B425" s="246"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46"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46"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46"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46"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46"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46"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46"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46"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46"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46"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46" t="n">
        <f aca="false">MIN(B425:L425)</f>
        <v>0.0978947368421048</v>
      </c>
      <c r="N425" s="246" t="n">
        <f aca="false">SUMPRODUCT(($M$7:$M$557&gt;M425)*1)+SUMPRODUCT(($M$7:$M$557=M425)*(ROW($M$7:$M$557)&lt;ROW(M425)))+1</f>
        <v>92</v>
      </c>
      <c r="O425" s="246" t="str">
        <f aca="false">IF(M425&gt;=0.13,"★★★ EXCELLENT",IF(M425&gt;=0.12,"★★  GOOD",IF(M425&gt;=0.07,"★  FAIR",IF(M425&gt;=0.025,"⚠  MARGINAL","✗  AVOID"))))</f>
        <v>★  FAIR</v>
      </c>
    </row>
    <row r="426" customFormat="false" ht="15" hidden="false" customHeight="true" outlineLevel="0" collapsed="false">
      <c r="A426" s="247" t="n">
        <v>46.9</v>
      </c>
      <c r="B426" s="248"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48"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48"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48"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48"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48"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48"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48"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48"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48"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48"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48" t="n">
        <f aca="false">MIN(B426:L426)</f>
        <v>0.0974035087719298</v>
      </c>
      <c r="N426" s="248" t="n">
        <f aca="false">SUMPRODUCT(($M$7:$M$557&gt;M426)*1)+SUMPRODUCT(($M$7:$M$557=M426)*(ROW($M$7:$M$557)&lt;ROW(M426)))+1</f>
        <v>94</v>
      </c>
      <c r="O426" s="248" t="str">
        <f aca="false">IF(M426&gt;=0.13,"★★★ EXCELLENT",IF(M426&gt;=0.12,"★★  GOOD",IF(M426&gt;=0.07,"★  FAIR",IF(M426&gt;=0.025,"⚠  MARGINAL","✗  AVOID"))))</f>
        <v>★  FAIR</v>
      </c>
    </row>
    <row r="427" customFormat="false" ht="15" hidden="false" customHeight="true" outlineLevel="0" collapsed="false">
      <c r="A427" s="245" t="n">
        <v>47</v>
      </c>
      <c r="B427" s="246"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46"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46"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46"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46"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46"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46"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46"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46"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46"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46"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46" t="n">
        <f aca="false">MIN(B427:L427)</f>
        <v>0.0922807017543863</v>
      </c>
      <c r="N427" s="246" t="n">
        <f aca="false">SUMPRODUCT(($M$7:$M$557&gt;M427)*1)+SUMPRODUCT(($M$7:$M$557=M427)*(ROW($M$7:$M$557)&lt;ROW(M427)))+1</f>
        <v>108</v>
      </c>
      <c r="O427" s="246" t="str">
        <f aca="false">IF(M427&gt;=0.13,"★★★ EXCELLENT",IF(M427&gt;=0.12,"★★  GOOD",IF(M427&gt;=0.07,"★  FAIR",IF(M427&gt;=0.025,"⚠  MARGINAL","✗  AVOID"))))</f>
        <v>★  FAIR</v>
      </c>
    </row>
    <row r="428" customFormat="false" ht="15" hidden="false" customHeight="true" outlineLevel="0" collapsed="false">
      <c r="A428" s="247" t="n">
        <v>47.1</v>
      </c>
      <c r="B428" s="248"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48"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48"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48"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48"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48"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48"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48"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48"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48"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48"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48" t="n">
        <f aca="false">MIN(B428:L428)</f>
        <v>0.0871578947368423</v>
      </c>
      <c r="N428" s="248" t="n">
        <f aca="false">SUMPRODUCT(($M$7:$M$557&gt;M428)*1)+SUMPRODUCT(($M$7:$M$557=M428)*(ROW($M$7:$M$557)&lt;ROW(M428)))+1</f>
        <v>121</v>
      </c>
      <c r="O428" s="248" t="str">
        <f aca="false">IF(M428&gt;=0.13,"★★★ EXCELLENT",IF(M428&gt;=0.12,"★★  GOOD",IF(M428&gt;=0.07,"★  FAIR",IF(M428&gt;=0.025,"⚠  MARGINAL","✗  AVOID"))))</f>
        <v>★  FAIR</v>
      </c>
    </row>
    <row r="429" customFormat="false" ht="15" hidden="false" customHeight="true" outlineLevel="0" collapsed="false">
      <c r="A429" s="245" t="n">
        <v>47.2</v>
      </c>
      <c r="B429" s="246"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46"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46"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46"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46"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46"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46"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46"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46"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46"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46"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46" t="n">
        <f aca="false">MIN(B429:L429)</f>
        <v>0.0820350877192984</v>
      </c>
      <c r="N429" s="246" t="n">
        <f aca="false">SUMPRODUCT(($M$7:$M$557&gt;M429)*1)+SUMPRODUCT(($M$7:$M$557=M429)*(ROW($M$7:$M$557)&lt;ROW(M429)))+1</f>
        <v>136</v>
      </c>
      <c r="O429" s="246" t="str">
        <f aca="false">IF(M429&gt;=0.13,"★★★ EXCELLENT",IF(M429&gt;=0.12,"★★  GOOD",IF(M429&gt;=0.07,"★  FAIR",IF(M429&gt;=0.025,"⚠  MARGINAL","✗  AVOID"))))</f>
        <v>★  FAIR</v>
      </c>
    </row>
    <row r="430" customFormat="false" ht="15" hidden="false" customHeight="true" outlineLevel="0" collapsed="false">
      <c r="A430" s="247" t="n">
        <v>47.3</v>
      </c>
      <c r="B430" s="248"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48"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48"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48"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48"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48"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48"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48"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48"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48"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48"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48" t="n">
        <f aca="false">MIN(B430:L430)</f>
        <v>0.0769122807017548</v>
      </c>
      <c r="N430" s="248" t="n">
        <f aca="false">SUMPRODUCT(($M$7:$M$557&gt;M430)*1)+SUMPRODUCT(($M$7:$M$557=M430)*(ROW($M$7:$M$557)&lt;ROW(M430)))+1</f>
        <v>151</v>
      </c>
      <c r="O430" s="248" t="str">
        <f aca="false">IF(M430&gt;=0.13,"★★★ EXCELLENT",IF(M430&gt;=0.12,"★★  GOOD",IF(M430&gt;=0.07,"★  FAIR",IF(M430&gt;=0.025,"⚠  MARGINAL","✗  AVOID"))))</f>
        <v>★  FAIR</v>
      </c>
    </row>
    <row r="431" customFormat="false" ht="15" hidden="false" customHeight="true" outlineLevel="0" collapsed="false">
      <c r="A431" s="245" t="n">
        <v>47.4</v>
      </c>
      <c r="B431" s="246"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46"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46"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46"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46"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46"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46"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46"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46"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46"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46"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46" t="n">
        <f aca="false">MIN(B431:L431)</f>
        <v>0.0717894736842109</v>
      </c>
      <c r="N431" s="246" t="n">
        <f aca="false">SUMPRODUCT(($M$7:$M$557&gt;M431)*1)+SUMPRODUCT(($M$7:$M$557=M431)*(ROW($M$7:$M$557)&lt;ROW(M431)))+1</f>
        <v>168</v>
      </c>
      <c r="O431" s="246" t="str">
        <f aca="false">IF(M431&gt;=0.13,"★★★ EXCELLENT",IF(M431&gt;=0.12,"★★  GOOD",IF(M431&gt;=0.07,"★  FAIR",IF(M431&gt;=0.025,"⚠  MARGINAL","✗  AVOID"))))</f>
        <v>★  FAIR</v>
      </c>
    </row>
    <row r="432" customFormat="false" ht="15" hidden="false" customHeight="true" outlineLevel="0" collapsed="false">
      <c r="A432" s="247" t="n">
        <v>47.5</v>
      </c>
      <c r="B432" s="248"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48"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48"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48"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48"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48"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48"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48"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48"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48"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48"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48" t="n">
        <f aca="false">MIN(B432:L432)</f>
        <v>0.0666666666666669</v>
      </c>
      <c r="N432" s="248" t="n">
        <f aca="false">SUMPRODUCT(($M$7:$M$557&gt;M432)*1)+SUMPRODUCT(($M$7:$M$557=M432)*(ROW($M$7:$M$557)&lt;ROW(M432)))+1</f>
        <v>182</v>
      </c>
      <c r="O432" s="248" t="str">
        <f aca="false">IF(M432&gt;=0.13,"★★★ EXCELLENT",IF(M432&gt;=0.12,"★★  GOOD",IF(M432&gt;=0.07,"★  FAIR",IF(M432&gt;=0.025,"⚠  MARGINAL","✗  AVOID"))))</f>
        <v>⚠  MARGINAL</v>
      </c>
    </row>
    <row r="433" customFormat="false" ht="15" hidden="false" customHeight="true" outlineLevel="0" collapsed="false">
      <c r="A433" s="245" t="n">
        <v>47.6</v>
      </c>
      <c r="B433" s="246"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46"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46"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46"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46"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46"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46"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46"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46"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46"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46"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46" t="n">
        <f aca="false">MIN(B433:L433)</f>
        <v>0.0615438596491229</v>
      </c>
      <c r="N433" s="246" t="n">
        <f aca="false">SUMPRODUCT(($M$7:$M$557&gt;M433)*1)+SUMPRODUCT(($M$7:$M$557=M433)*(ROW($M$7:$M$557)&lt;ROW(M433)))+1</f>
        <v>198</v>
      </c>
      <c r="O433" s="246" t="str">
        <f aca="false">IF(M433&gt;=0.13,"★★★ EXCELLENT",IF(M433&gt;=0.12,"★★  GOOD",IF(M433&gt;=0.07,"★  FAIR",IF(M433&gt;=0.025,"⚠  MARGINAL","✗  AVOID"))))</f>
        <v>⚠  MARGINAL</v>
      </c>
    </row>
    <row r="434" customFormat="false" ht="15" hidden="false" customHeight="true" outlineLevel="0" collapsed="false">
      <c r="A434" s="247" t="n">
        <v>47.7</v>
      </c>
      <c r="B434" s="248"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48"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48"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48"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48"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48"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48"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48"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48"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48"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48"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48" t="n">
        <f aca="false">MIN(B434:L434)</f>
        <v>0.0564210526315785</v>
      </c>
      <c r="N434" s="248" t="n">
        <f aca="false">SUMPRODUCT(($M$7:$M$557&gt;M434)*1)+SUMPRODUCT(($M$7:$M$557=M434)*(ROW($M$7:$M$557)&lt;ROW(M434)))+1</f>
        <v>213</v>
      </c>
      <c r="O434" s="248" t="str">
        <f aca="false">IF(M434&gt;=0.13,"★★★ EXCELLENT",IF(M434&gt;=0.12,"★★  GOOD",IF(M434&gt;=0.07,"★  FAIR",IF(M434&gt;=0.025,"⚠  MARGINAL","✗  AVOID"))))</f>
        <v>⚠  MARGINAL</v>
      </c>
    </row>
    <row r="435" customFormat="false" ht="15" hidden="false" customHeight="true" outlineLevel="0" collapsed="false">
      <c r="A435" s="245" t="n">
        <v>47.8</v>
      </c>
      <c r="B435" s="246"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46"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46"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46"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46"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46"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46"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46"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46"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46"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46"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46" t="n">
        <f aca="false">MIN(B435:L435)</f>
        <v>0.051298245614035</v>
      </c>
      <c r="N435" s="246" t="n">
        <f aca="false">SUMPRODUCT(($M$7:$M$557&gt;M435)*1)+SUMPRODUCT(($M$7:$M$557=M435)*(ROW($M$7:$M$557)&lt;ROW(M435)))+1</f>
        <v>228</v>
      </c>
      <c r="O435" s="246" t="str">
        <f aca="false">IF(M435&gt;=0.13,"★★★ EXCELLENT",IF(M435&gt;=0.12,"★★  GOOD",IF(M435&gt;=0.07,"★  FAIR",IF(M435&gt;=0.025,"⚠  MARGINAL","✗  AVOID"))))</f>
        <v>⚠  MARGINAL</v>
      </c>
    </row>
    <row r="436" customFormat="false" ht="15" hidden="false" customHeight="true" outlineLevel="0" collapsed="false">
      <c r="A436" s="247" t="n">
        <v>47.9</v>
      </c>
      <c r="B436" s="248"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48"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48"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48"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48"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48"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48"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48"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48"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48"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48"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48" t="n">
        <f aca="false">MIN(B436:L436)</f>
        <v>0.0461754385964914</v>
      </c>
      <c r="N436" s="248" t="n">
        <f aca="false">SUMPRODUCT(($M$7:$M$557&gt;M436)*1)+SUMPRODUCT(($M$7:$M$557=M436)*(ROW($M$7:$M$557)&lt;ROW(M436)))+1</f>
        <v>244</v>
      </c>
      <c r="O436" s="248" t="str">
        <f aca="false">IF(M436&gt;=0.13,"★★★ EXCELLENT",IF(M436&gt;=0.12,"★★  GOOD",IF(M436&gt;=0.07,"★  FAIR",IF(M436&gt;=0.025,"⚠  MARGINAL","✗  AVOID"))))</f>
        <v>⚠  MARGINAL</v>
      </c>
    </row>
    <row r="437" customFormat="false" ht="15" hidden="false" customHeight="true" outlineLevel="0" collapsed="false">
      <c r="A437" s="245" t="n">
        <v>48</v>
      </c>
      <c r="B437" s="246"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46"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46"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46"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46"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46"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46"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46"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46"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46"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46"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46" t="n">
        <f aca="false">MIN(B437:L437)</f>
        <v>0.0410526315789475</v>
      </c>
      <c r="N437" s="246" t="n">
        <f aca="false">SUMPRODUCT(($M$7:$M$557&gt;M437)*1)+SUMPRODUCT(($M$7:$M$557=M437)*(ROW($M$7:$M$557)&lt;ROW(M437)))+1</f>
        <v>260</v>
      </c>
      <c r="O437" s="246" t="str">
        <f aca="false">IF(M437&gt;=0.13,"★★★ EXCELLENT",IF(M437&gt;=0.12,"★★  GOOD",IF(M437&gt;=0.07,"★  FAIR",IF(M437&gt;=0.025,"⚠  MARGINAL","✗  AVOID"))))</f>
        <v>⚠  MARGINAL</v>
      </c>
    </row>
    <row r="438" customFormat="false" ht="15" hidden="false" customHeight="true" outlineLevel="0" collapsed="false">
      <c r="A438" s="247" t="n">
        <v>48.1</v>
      </c>
      <c r="B438" s="248"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48"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48"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48"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48"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48"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48"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48"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48"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48"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48"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48" t="n">
        <f aca="false">MIN(B438:L438)</f>
        <v>0.0359298245614035</v>
      </c>
      <c r="N438" s="248" t="n">
        <f aca="false">SUMPRODUCT(($M$7:$M$557&gt;M438)*1)+SUMPRODUCT(($M$7:$M$557=M438)*(ROW($M$7:$M$557)&lt;ROW(M438)))+1</f>
        <v>274</v>
      </c>
      <c r="O438" s="248" t="str">
        <f aca="false">IF(M438&gt;=0.13,"★★★ EXCELLENT",IF(M438&gt;=0.12,"★★  GOOD",IF(M438&gt;=0.07,"★  FAIR",IF(M438&gt;=0.025,"⚠  MARGINAL","✗  AVOID"))))</f>
        <v>⚠  MARGINAL</v>
      </c>
    </row>
    <row r="439" customFormat="false" ht="15" hidden="false" customHeight="true" outlineLevel="0" collapsed="false">
      <c r="A439" s="245" t="n">
        <v>48.2</v>
      </c>
      <c r="B439" s="246"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46"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46"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46"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46"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46"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46"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46"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46"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46"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46"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46" t="n">
        <f aca="false">MIN(B439:L439)</f>
        <v>0.0308070175438595</v>
      </c>
      <c r="N439" s="246" t="n">
        <f aca="false">SUMPRODUCT(($M$7:$M$557&gt;M439)*1)+SUMPRODUCT(($M$7:$M$557=M439)*(ROW($M$7:$M$557)&lt;ROW(M439)))+1</f>
        <v>290</v>
      </c>
      <c r="O439" s="246" t="str">
        <f aca="false">IF(M439&gt;=0.13,"★★★ EXCELLENT",IF(M439&gt;=0.12,"★★  GOOD",IF(M439&gt;=0.07,"★  FAIR",IF(M439&gt;=0.025,"⚠  MARGINAL","✗  AVOID"))))</f>
        <v>⚠  MARGINAL</v>
      </c>
    </row>
    <row r="440" customFormat="false" ht="15" hidden="false" customHeight="true" outlineLevel="0" collapsed="false">
      <c r="A440" s="247" t="n">
        <v>48.3</v>
      </c>
      <c r="B440" s="248"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48"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48"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48"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48"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48"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48"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48"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48"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48"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48"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48" t="n">
        <f aca="false">MIN(B440:L440)</f>
        <v>0.025684210526316</v>
      </c>
      <c r="N440" s="248" t="n">
        <f aca="false">SUMPRODUCT(($M$7:$M$557&gt;M440)*1)+SUMPRODUCT(($M$7:$M$557=M440)*(ROW($M$7:$M$557)&lt;ROW(M440)))+1</f>
        <v>305</v>
      </c>
      <c r="O440" s="248" t="str">
        <f aca="false">IF(M440&gt;=0.13,"★★★ EXCELLENT",IF(M440&gt;=0.12,"★★  GOOD",IF(M440&gt;=0.07,"★  FAIR",IF(M440&gt;=0.025,"⚠  MARGINAL","✗  AVOID"))))</f>
        <v>⚠  MARGINAL</v>
      </c>
    </row>
    <row r="441" customFormat="false" ht="15" hidden="false" customHeight="true" outlineLevel="0" collapsed="false">
      <c r="A441" s="245" t="n">
        <v>48.4</v>
      </c>
      <c r="B441" s="246"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46"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46"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46"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46"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46"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46"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46"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46"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46"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46"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46" t="n">
        <f aca="false">MIN(B441:L441)</f>
        <v>0.020561403508772</v>
      </c>
      <c r="N441" s="246" t="n">
        <f aca="false">SUMPRODUCT(($M$7:$M$557&gt;M441)*1)+SUMPRODUCT(($M$7:$M$557=M441)*(ROW($M$7:$M$557)&lt;ROW(M441)))+1</f>
        <v>321</v>
      </c>
      <c r="O441" s="246" t="str">
        <f aca="false">IF(M441&gt;=0.13,"★★★ EXCELLENT",IF(M441&gt;=0.12,"★★  GOOD",IF(M441&gt;=0.07,"★  FAIR",IF(M441&gt;=0.025,"⚠  MARGINAL","✗  AVOID"))))</f>
        <v>✗  AVOID</v>
      </c>
    </row>
    <row r="442" customFormat="false" ht="15" hidden="false" customHeight="true" outlineLevel="0" collapsed="false">
      <c r="A442" s="247" t="n">
        <v>48.5</v>
      </c>
      <c r="B442" s="248"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48"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48"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48"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48"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48"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48"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48"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48"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48"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48"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48" t="n">
        <f aca="false">MIN(B442:L442)</f>
        <v>0.015438596491228</v>
      </c>
      <c r="N442" s="248" t="n">
        <f aca="false">SUMPRODUCT(($M$7:$M$557&gt;M442)*1)+SUMPRODUCT(($M$7:$M$557=M442)*(ROW($M$7:$M$557)&lt;ROW(M442)))+1</f>
        <v>336</v>
      </c>
      <c r="O442" s="248" t="str">
        <f aca="false">IF(M442&gt;=0.13,"★★★ EXCELLENT",IF(M442&gt;=0.12,"★★  GOOD",IF(M442&gt;=0.07,"★  FAIR",IF(M442&gt;=0.025,"⚠  MARGINAL","✗  AVOID"))))</f>
        <v>✗  AVOID</v>
      </c>
    </row>
    <row r="443" customFormat="false" ht="15" hidden="false" customHeight="true" outlineLevel="0" collapsed="false">
      <c r="A443" s="245" t="n">
        <v>48.6</v>
      </c>
      <c r="B443" s="246"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46"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46"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46"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46"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46"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46"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46"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46"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46"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46"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46" t="n">
        <f aca="false">MIN(B443:L443)</f>
        <v>0.0103157894736841</v>
      </c>
      <c r="N443" s="246" t="n">
        <f aca="false">SUMPRODUCT(($M$7:$M$557&gt;M443)*1)+SUMPRODUCT(($M$7:$M$557=M443)*(ROW($M$7:$M$557)&lt;ROW(M443)))+1</f>
        <v>351</v>
      </c>
      <c r="O443" s="246" t="str">
        <f aca="false">IF(M443&gt;=0.13,"★★★ EXCELLENT",IF(M443&gt;=0.12,"★★  GOOD",IF(M443&gt;=0.07,"★  FAIR",IF(M443&gt;=0.025,"⚠  MARGINAL","✗  AVOID"))))</f>
        <v>✗  AVOID</v>
      </c>
    </row>
    <row r="444" customFormat="false" ht="15" hidden="false" customHeight="true" outlineLevel="0" collapsed="false">
      <c r="A444" s="247" t="n">
        <v>48.7</v>
      </c>
      <c r="B444" s="248"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48"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48"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48"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48"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48"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48"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48"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48"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48"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48"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48" t="n">
        <f aca="false">MIN(B444:L444)</f>
        <v>0.00519298245614053</v>
      </c>
      <c r="N444" s="248" t="n">
        <f aca="false">SUMPRODUCT(($M$7:$M$557&gt;M444)*1)+SUMPRODUCT(($M$7:$M$557=M444)*(ROW($M$7:$M$557)&lt;ROW(M444)))+1</f>
        <v>368</v>
      </c>
      <c r="O444" s="248" t="str">
        <f aca="false">IF(M444&gt;=0.13,"★★★ EXCELLENT",IF(M444&gt;=0.12,"★★  GOOD",IF(M444&gt;=0.07,"★  FAIR",IF(M444&gt;=0.025,"⚠  MARGINAL","✗  AVOID"))))</f>
        <v>✗  AVOID</v>
      </c>
    </row>
    <row r="445" customFormat="false" ht="15" hidden="false" customHeight="true" outlineLevel="0" collapsed="false">
      <c r="A445" s="245" t="n">
        <v>48.8</v>
      </c>
      <c r="B445" s="246"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46"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46"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46"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46"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46"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46"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46"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46"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46"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46"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46" t="n">
        <f aca="false">MIN(B445:L445)</f>
        <v>7.01754385969977E-005</v>
      </c>
      <c r="N445" s="246" t="n">
        <f aca="false">SUMPRODUCT(($M$7:$M$557&gt;M445)*1)+SUMPRODUCT(($M$7:$M$557=M445)*(ROW($M$7:$M$557)&lt;ROW(M445)))+1</f>
        <v>382</v>
      </c>
      <c r="O445" s="246" t="str">
        <f aca="false">IF(M445&gt;=0.13,"★★★ EXCELLENT",IF(M445&gt;=0.12,"★★  GOOD",IF(M445&gt;=0.07,"★  FAIR",IF(M445&gt;=0.025,"⚠  MARGINAL","✗  AVOID"))))</f>
        <v>✗  AVOID</v>
      </c>
    </row>
    <row r="446" customFormat="false" ht="15" hidden="false" customHeight="true" outlineLevel="0" collapsed="false">
      <c r="A446" s="247" t="n">
        <v>48.9</v>
      </c>
      <c r="B446" s="248"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48"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48"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48"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48"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48"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48"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48"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48"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48"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48"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48" t="n">
        <f aca="false">MIN(B446:L446)</f>
        <v>0</v>
      </c>
      <c r="N446" s="248" t="n">
        <f aca="false">SUMPRODUCT(($M$7:$M$557&gt;M446)*1)+SUMPRODUCT(($M$7:$M$557=M446)*(ROW($M$7:$M$557)&lt;ROW(M446)))+1</f>
        <v>504</v>
      </c>
      <c r="O446" s="248" t="str">
        <f aca="false">IF(M446&gt;=0.13,"★★★ EXCELLENT",IF(M446&gt;=0.12,"★★  GOOD",IF(M446&gt;=0.07,"★  FAIR",IF(M446&gt;=0.025,"⚠  MARGINAL","✗  AVOID"))))</f>
        <v>✗  AVOID</v>
      </c>
    </row>
    <row r="447" customFormat="false" ht="15" hidden="false" customHeight="true" outlineLevel="0" collapsed="false">
      <c r="A447" s="245" t="n">
        <v>49</v>
      </c>
      <c r="B447" s="246"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46"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46"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46"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46"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46"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46"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46"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46"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46"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46"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46" t="n">
        <f aca="false">MIN(B447:L447)</f>
        <v>0</v>
      </c>
      <c r="N447" s="246" t="n">
        <f aca="false">SUMPRODUCT(($M$7:$M$557&gt;M447)*1)+SUMPRODUCT(($M$7:$M$557=M447)*(ROW($M$7:$M$557)&lt;ROW(M447)))+1</f>
        <v>505</v>
      </c>
      <c r="O447" s="246" t="str">
        <f aca="false">IF(M447&gt;=0.13,"★★★ EXCELLENT",IF(M447&gt;=0.12,"★★  GOOD",IF(M447&gt;=0.07,"★  FAIR",IF(M447&gt;=0.025,"⚠  MARGINAL","✗  AVOID"))))</f>
        <v>✗  AVOID</v>
      </c>
    </row>
    <row r="448" customFormat="false" ht="15" hidden="false" customHeight="true" outlineLevel="0" collapsed="false">
      <c r="A448" s="247" t="n">
        <v>49.1</v>
      </c>
      <c r="B448" s="248"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48"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48"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48"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48"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48"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48"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48"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48"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48"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48"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48" t="n">
        <f aca="false">MIN(B448:L448)</f>
        <v>0</v>
      </c>
      <c r="N448" s="248" t="n">
        <f aca="false">SUMPRODUCT(($M$7:$M$557&gt;M448)*1)+SUMPRODUCT(($M$7:$M$557=M448)*(ROW($M$7:$M$557)&lt;ROW(M448)))+1</f>
        <v>506</v>
      </c>
      <c r="O448" s="248" t="str">
        <f aca="false">IF(M448&gt;=0.13,"★★★ EXCELLENT",IF(M448&gt;=0.12,"★★  GOOD",IF(M448&gt;=0.07,"★  FAIR",IF(M448&gt;=0.025,"⚠  MARGINAL","✗  AVOID"))))</f>
        <v>✗  AVOID</v>
      </c>
    </row>
    <row r="449" customFormat="false" ht="15" hidden="false" customHeight="true" outlineLevel="0" collapsed="false">
      <c r="A449" s="245" t="n">
        <v>49.2</v>
      </c>
      <c r="B449" s="246"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46"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46"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46"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46"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46"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46"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46"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46"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46"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46"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46" t="n">
        <f aca="false">MIN(B449:L449)</f>
        <v>0</v>
      </c>
      <c r="N449" s="246" t="n">
        <f aca="false">SUMPRODUCT(($M$7:$M$557&gt;M449)*1)+SUMPRODUCT(($M$7:$M$557=M449)*(ROW($M$7:$M$557)&lt;ROW(M449)))+1</f>
        <v>507</v>
      </c>
      <c r="O449" s="246" t="str">
        <f aca="false">IF(M449&gt;=0.13,"★★★ EXCELLENT",IF(M449&gt;=0.12,"★★  GOOD",IF(M449&gt;=0.07,"★  FAIR",IF(M449&gt;=0.025,"⚠  MARGINAL","✗  AVOID"))))</f>
        <v>✗  AVOID</v>
      </c>
    </row>
    <row r="450" customFormat="false" ht="15" hidden="false" customHeight="true" outlineLevel="0" collapsed="false">
      <c r="A450" s="247" t="n">
        <v>49.3</v>
      </c>
      <c r="B450" s="248"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48"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48"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48"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48"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48"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48"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48"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48"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48"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48"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48" t="n">
        <f aca="false">MIN(B450:L450)</f>
        <v>0</v>
      </c>
      <c r="N450" s="248" t="n">
        <f aca="false">SUMPRODUCT(($M$7:$M$557&gt;M450)*1)+SUMPRODUCT(($M$7:$M$557=M450)*(ROW($M$7:$M$557)&lt;ROW(M450)))+1</f>
        <v>508</v>
      </c>
      <c r="O450" s="248" t="str">
        <f aca="false">IF(M450&gt;=0.13,"★★★ EXCELLENT",IF(M450&gt;=0.12,"★★  GOOD",IF(M450&gt;=0.07,"★  FAIR",IF(M450&gt;=0.025,"⚠  MARGINAL","✗  AVOID"))))</f>
        <v>✗  AVOID</v>
      </c>
    </row>
    <row r="451" customFormat="false" ht="15" hidden="false" customHeight="true" outlineLevel="0" collapsed="false">
      <c r="A451" s="245" t="n">
        <v>49.4</v>
      </c>
      <c r="B451" s="246"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46"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46"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46"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46"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46"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46"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46"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46"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46"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46"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46" t="n">
        <f aca="false">MIN(B451:L451)</f>
        <v>0</v>
      </c>
      <c r="N451" s="246" t="n">
        <f aca="false">SUMPRODUCT(($M$7:$M$557&gt;M451)*1)+SUMPRODUCT(($M$7:$M$557=M451)*(ROW($M$7:$M$557)&lt;ROW(M451)))+1</f>
        <v>509</v>
      </c>
      <c r="O451" s="246" t="str">
        <f aca="false">IF(M451&gt;=0.13,"★★★ EXCELLENT",IF(M451&gt;=0.12,"★★  GOOD",IF(M451&gt;=0.07,"★  FAIR",IF(M451&gt;=0.025,"⚠  MARGINAL","✗  AVOID"))))</f>
        <v>✗  AVOID</v>
      </c>
    </row>
    <row r="452" customFormat="false" ht="15" hidden="false" customHeight="true" outlineLevel="0" collapsed="false">
      <c r="A452" s="247" t="n">
        <v>49.5</v>
      </c>
      <c r="B452" s="248"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48"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48"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48"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48"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48"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48"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48"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48"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48"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48"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48" t="n">
        <f aca="false">MIN(B452:L452)</f>
        <v>0</v>
      </c>
      <c r="N452" s="248" t="n">
        <f aca="false">SUMPRODUCT(($M$7:$M$557&gt;M452)*1)+SUMPRODUCT(($M$7:$M$557=M452)*(ROW($M$7:$M$557)&lt;ROW(M452)))+1</f>
        <v>510</v>
      </c>
      <c r="O452" s="248" t="str">
        <f aca="false">IF(M452&gt;=0.13,"★★★ EXCELLENT",IF(M452&gt;=0.12,"★★  GOOD",IF(M452&gt;=0.07,"★  FAIR",IF(M452&gt;=0.025,"⚠  MARGINAL","✗  AVOID"))))</f>
        <v>✗  AVOID</v>
      </c>
    </row>
    <row r="453" customFormat="false" ht="15" hidden="false" customHeight="true" outlineLevel="0" collapsed="false">
      <c r="A453" s="245" t="n">
        <v>49.6</v>
      </c>
      <c r="B453" s="246"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46"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46"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46"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46"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46"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46"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46"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46"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46"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46"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46" t="n">
        <f aca="false">MIN(B453:L453)</f>
        <v>0</v>
      </c>
      <c r="N453" s="246" t="n">
        <f aca="false">SUMPRODUCT(($M$7:$M$557&gt;M453)*1)+SUMPRODUCT(($M$7:$M$557=M453)*(ROW($M$7:$M$557)&lt;ROW(M453)))+1</f>
        <v>511</v>
      </c>
      <c r="O453" s="246" t="str">
        <f aca="false">IF(M453&gt;=0.13,"★★★ EXCELLENT",IF(M453&gt;=0.12,"★★  GOOD",IF(M453&gt;=0.07,"★  FAIR",IF(M453&gt;=0.025,"⚠  MARGINAL","✗  AVOID"))))</f>
        <v>✗  AVOID</v>
      </c>
    </row>
    <row r="454" customFormat="false" ht="15" hidden="false" customHeight="true" outlineLevel="0" collapsed="false">
      <c r="A454" s="247" t="n">
        <v>49.7</v>
      </c>
      <c r="B454" s="248"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48"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48"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48"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48"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48"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48"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48"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48"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48"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48"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48" t="n">
        <f aca="false">MIN(B454:L454)</f>
        <v>0</v>
      </c>
      <c r="N454" s="248" t="n">
        <f aca="false">SUMPRODUCT(($M$7:$M$557&gt;M454)*1)+SUMPRODUCT(($M$7:$M$557=M454)*(ROW($M$7:$M$557)&lt;ROW(M454)))+1</f>
        <v>512</v>
      </c>
      <c r="O454" s="248" t="str">
        <f aca="false">IF(M454&gt;=0.13,"★★★ EXCELLENT",IF(M454&gt;=0.12,"★★  GOOD",IF(M454&gt;=0.07,"★  FAIR",IF(M454&gt;=0.025,"⚠  MARGINAL","✗  AVOID"))))</f>
        <v>✗  AVOID</v>
      </c>
    </row>
    <row r="455" customFormat="false" ht="15" hidden="false" customHeight="true" outlineLevel="0" collapsed="false">
      <c r="A455" s="245" t="n">
        <v>49.8</v>
      </c>
      <c r="B455" s="246"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46"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46"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46"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46"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46"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46"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46"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46"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46"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46"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46" t="n">
        <f aca="false">MIN(B455:L455)</f>
        <v>0</v>
      </c>
      <c r="N455" s="246" t="n">
        <f aca="false">SUMPRODUCT(($M$7:$M$557&gt;M455)*1)+SUMPRODUCT(($M$7:$M$557=M455)*(ROW($M$7:$M$557)&lt;ROW(M455)))+1</f>
        <v>513</v>
      </c>
      <c r="O455" s="246" t="str">
        <f aca="false">IF(M455&gt;=0.13,"★★★ EXCELLENT",IF(M455&gt;=0.12,"★★  GOOD",IF(M455&gt;=0.07,"★  FAIR",IF(M455&gt;=0.025,"⚠  MARGINAL","✗  AVOID"))))</f>
        <v>✗  AVOID</v>
      </c>
    </row>
    <row r="456" customFormat="false" ht="15" hidden="false" customHeight="true" outlineLevel="0" collapsed="false">
      <c r="A456" s="247" t="n">
        <v>49.9</v>
      </c>
      <c r="B456" s="248"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48"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48"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48"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48"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48"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48"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48"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48"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48"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48"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48" t="n">
        <f aca="false">MIN(B456:L456)</f>
        <v>0</v>
      </c>
      <c r="N456" s="248" t="n">
        <f aca="false">SUMPRODUCT(($M$7:$M$557&gt;M456)*1)+SUMPRODUCT(($M$7:$M$557=M456)*(ROW($M$7:$M$557)&lt;ROW(M456)))+1</f>
        <v>514</v>
      </c>
      <c r="O456" s="248" t="str">
        <f aca="false">IF(M456&gt;=0.13,"★★★ EXCELLENT",IF(M456&gt;=0.12,"★★  GOOD",IF(M456&gt;=0.07,"★  FAIR",IF(M456&gt;=0.025,"⚠  MARGINAL","✗  AVOID"))))</f>
        <v>✗  AVOID</v>
      </c>
    </row>
    <row r="457" customFormat="false" ht="15" hidden="false" customHeight="true" outlineLevel="0" collapsed="false">
      <c r="A457" s="245" t="n">
        <v>50</v>
      </c>
      <c r="B457" s="246"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46"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46"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46"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46"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46"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46"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46"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46"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46"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46"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46" t="n">
        <f aca="false">MIN(B457:L457)</f>
        <v>0</v>
      </c>
      <c r="N457" s="246" t="n">
        <f aca="false">SUMPRODUCT(($M$7:$M$557&gt;M457)*1)+SUMPRODUCT(($M$7:$M$557=M457)*(ROW($M$7:$M$557)&lt;ROW(M457)))+1</f>
        <v>515</v>
      </c>
      <c r="O457" s="246" t="str">
        <f aca="false">IF(M457&gt;=0.13,"★★★ EXCELLENT",IF(M457&gt;=0.12,"★★  GOOD",IF(M457&gt;=0.07,"★  FAIR",IF(M457&gt;=0.025,"⚠  MARGINAL","✗  AVOID"))))</f>
        <v>✗  AVOID</v>
      </c>
    </row>
    <row r="458" customFormat="false" ht="15" hidden="false" customHeight="true" outlineLevel="0" collapsed="false">
      <c r="A458" s="247" t="n">
        <v>50.1</v>
      </c>
      <c r="B458" s="248"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48"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48"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48"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48"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48"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48"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48"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48"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48"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48"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48" t="n">
        <f aca="false">MIN(B458:L458)</f>
        <v>0</v>
      </c>
      <c r="N458" s="248" t="n">
        <f aca="false">SUMPRODUCT(($M$7:$M$557&gt;M458)*1)+SUMPRODUCT(($M$7:$M$557=M458)*(ROW($M$7:$M$557)&lt;ROW(M458)))+1</f>
        <v>516</v>
      </c>
      <c r="O458" s="248" t="str">
        <f aca="false">IF(M458&gt;=0.13,"★★★ EXCELLENT",IF(M458&gt;=0.12,"★★  GOOD",IF(M458&gt;=0.07,"★  FAIR",IF(M458&gt;=0.025,"⚠  MARGINAL","✗  AVOID"))))</f>
        <v>✗  AVOID</v>
      </c>
    </row>
    <row r="459" customFormat="false" ht="15" hidden="false" customHeight="true" outlineLevel="0" collapsed="false">
      <c r="A459" s="245" t="n">
        <v>50.2</v>
      </c>
      <c r="B459" s="246"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46"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46"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46"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46"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46"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46"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46"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46"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46"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46"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46" t="n">
        <f aca="false">MIN(B459:L459)</f>
        <v>0</v>
      </c>
      <c r="N459" s="246" t="n">
        <f aca="false">SUMPRODUCT(($M$7:$M$557&gt;M459)*1)+SUMPRODUCT(($M$7:$M$557=M459)*(ROW($M$7:$M$557)&lt;ROW(M459)))+1</f>
        <v>517</v>
      </c>
      <c r="O459" s="246" t="str">
        <f aca="false">IF(M459&gt;=0.13,"★★★ EXCELLENT",IF(M459&gt;=0.12,"★★  GOOD",IF(M459&gt;=0.07,"★  FAIR",IF(M459&gt;=0.025,"⚠  MARGINAL","✗  AVOID"))))</f>
        <v>✗  AVOID</v>
      </c>
    </row>
    <row r="460" customFormat="false" ht="15" hidden="false" customHeight="true" outlineLevel="0" collapsed="false">
      <c r="A460" s="247" t="n">
        <v>50.3</v>
      </c>
      <c r="B460" s="248"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48"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48"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48"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48"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48"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48"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48"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48"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48"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48"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48" t="n">
        <f aca="false">MIN(B460:L460)</f>
        <v>0</v>
      </c>
      <c r="N460" s="248" t="n">
        <f aca="false">SUMPRODUCT(($M$7:$M$557&gt;M460)*1)+SUMPRODUCT(($M$7:$M$557=M460)*(ROW($M$7:$M$557)&lt;ROW(M460)))+1</f>
        <v>518</v>
      </c>
      <c r="O460" s="248" t="str">
        <f aca="false">IF(M460&gt;=0.13,"★★★ EXCELLENT",IF(M460&gt;=0.12,"★★  GOOD",IF(M460&gt;=0.07,"★  FAIR",IF(M460&gt;=0.025,"⚠  MARGINAL","✗  AVOID"))))</f>
        <v>✗  AVOID</v>
      </c>
    </row>
    <row r="461" customFormat="false" ht="15" hidden="false" customHeight="true" outlineLevel="0" collapsed="false">
      <c r="A461" s="245" t="n">
        <v>50.4</v>
      </c>
      <c r="B461" s="246"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46"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46"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46"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46"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46"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46"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46"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46"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46"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46"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46" t="n">
        <f aca="false">MIN(B461:L461)</f>
        <v>0</v>
      </c>
      <c r="N461" s="246" t="n">
        <f aca="false">SUMPRODUCT(($M$7:$M$557&gt;M461)*1)+SUMPRODUCT(($M$7:$M$557=M461)*(ROW($M$7:$M$557)&lt;ROW(M461)))+1</f>
        <v>519</v>
      </c>
      <c r="O461" s="246" t="str">
        <f aca="false">IF(M461&gt;=0.13,"★★★ EXCELLENT",IF(M461&gt;=0.12,"★★  GOOD",IF(M461&gt;=0.07,"★  FAIR",IF(M461&gt;=0.025,"⚠  MARGINAL","✗  AVOID"))))</f>
        <v>✗  AVOID</v>
      </c>
    </row>
    <row r="462" customFormat="false" ht="15" hidden="false" customHeight="true" outlineLevel="0" collapsed="false">
      <c r="A462" s="247" t="n">
        <v>50.5</v>
      </c>
      <c r="B462" s="248"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48"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48"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48"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48"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48"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48"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48"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48"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48"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48"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48" t="n">
        <f aca="false">MIN(B462:L462)</f>
        <v>0</v>
      </c>
      <c r="N462" s="248" t="n">
        <f aca="false">SUMPRODUCT(($M$7:$M$557&gt;M462)*1)+SUMPRODUCT(($M$7:$M$557=M462)*(ROW($M$7:$M$557)&lt;ROW(M462)))+1</f>
        <v>520</v>
      </c>
      <c r="O462" s="248" t="str">
        <f aca="false">IF(M462&gt;=0.13,"★★★ EXCELLENT",IF(M462&gt;=0.12,"★★  GOOD",IF(M462&gt;=0.07,"★  FAIR",IF(M462&gt;=0.025,"⚠  MARGINAL","✗  AVOID"))))</f>
        <v>✗  AVOID</v>
      </c>
    </row>
    <row r="463" customFormat="false" ht="15" hidden="false" customHeight="true" outlineLevel="0" collapsed="false">
      <c r="A463" s="245" t="n">
        <v>50.6</v>
      </c>
      <c r="B463" s="246"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46"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46"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46"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46"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46"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46"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46"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46"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46"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46"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46" t="n">
        <f aca="false">MIN(B463:L463)</f>
        <v>0</v>
      </c>
      <c r="N463" s="246" t="n">
        <f aca="false">SUMPRODUCT(($M$7:$M$557&gt;M463)*1)+SUMPRODUCT(($M$7:$M$557=M463)*(ROW($M$7:$M$557)&lt;ROW(M463)))+1</f>
        <v>521</v>
      </c>
      <c r="O463" s="246" t="str">
        <f aca="false">IF(M463&gt;=0.13,"★★★ EXCELLENT",IF(M463&gt;=0.12,"★★  GOOD",IF(M463&gt;=0.07,"★  FAIR",IF(M463&gt;=0.025,"⚠  MARGINAL","✗  AVOID"))))</f>
        <v>✗  AVOID</v>
      </c>
    </row>
    <row r="464" customFormat="false" ht="15" hidden="false" customHeight="true" outlineLevel="0" collapsed="false">
      <c r="A464" s="247" t="n">
        <v>50.7</v>
      </c>
      <c r="B464" s="248"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48"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48"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48"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48"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48"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48"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48"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48"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48"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48"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48" t="n">
        <f aca="false">MIN(B464:L464)</f>
        <v>0</v>
      </c>
      <c r="N464" s="248" t="n">
        <f aca="false">SUMPRODUCT(($M$7:$M$557&gt;M464)*1)+SUMPRODUCT(($M$7:$M$557=M464)*(ROW($M$7:$M$557)&lt;ROW(M464)))+1</f>
        <v>522</v>
      </c>
      <c r="O464" s="248" t="str">
        <f aca="false">IF(M464&gt;=0.13,"★★★ EXCELLENT",IF(M464&gt;=0.12,"★★  GOOD",IF(M464&gt;=0.07,"★  FAIR",IF(M464&gt;=0.025,"⚠  MARGINAL","✗  AVOID"))))</f>
        <v>✗  AVOID</v>
      </c>
    </row>
    <row r="465" customFormat="false" ht="15" hidden="false" customHeight="true" outlineLevel="0" collapsed="false">
      <c r="A465" s="245" t="n">
        <v>50.8</v>
      </c>
      <c r="B465" s="246"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46"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46"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46"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46"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46"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46"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46"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46"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46"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46"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46" t="n">
        <f aca="false">MIN(B465:L465)</f>
        <v>0</v>
      </c>
      <c r="N465" s="246" t="n">
        <f aca="false">SUMPRODUCT(($M$7:$M$557&gt;M465)*1)+SUMPRODUCT(($M$7:$M$557=M465)*(ROW($M$7:$M$557)&lt;ROW(M465)))+1</f>
        <v>523</v>
      </c>
      <c r="O465" s="246" t="str">
        <f aca="false">IF(M465&gt;=0.13,"★★★ EXCELLENT",IF(M465&gt;=0.12,"★★  GOOD",IF(M465&gt;=0.07,"★  FAIR",IF(M465&gt;=0.025,"⚠  MARGINAL","✗  AVOID"))))</f>
        <v>✗  AVOID</v>
      </c>
    </row>
    <row r="466" customFormat="false" ht="15" hidden="false" customHeight="true" outlineLevel="0" collapsed="false">
      <c r="A466" s="247" t="n">
        <v>50.9</v>
      </c>
      <c r="B466" s="248"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48"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48"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48"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48"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48"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48"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48"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48"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48"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48"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48" t="n">
        <f aca="false">MIN(B466:L466)</f>
        <v>0.000350877192982324</v>
      </c>
      <c r="N466" s="248" t="n">
        <f aca="false">SUMPRODUCT(($M$7:$M$557&gt;M466)*1)+SUMPRODUCT(($M$7:$M$557=M466)*(ROW($M$7:$M$557)&lt;ROW(M466)))+1</f>
        <v>381</v>
      </c>
      <c r="O466" s="248" t="str">
        <f aca="false">IF(M466&gt;=0.13,"★★★ EXCELLENT",IF(M466&gt;=0.12,"★★  GOOD",IF(M466&gt;=0.07,"★  FAIR",IF(M466&gt;=0.025,"⚠  MARGINAL","✗  AVOID"))))</f>
        <v>✗  AVOID</v>
      </c>
    </row>
    <row r="467" customFormat="false" ht="15" hidden="false" customHeight="true" outlineLevel="0" collapsed="false">
      <c r="A467" s="245" t="n">
        <v>51</v>
      </c>
      <c r="B467" s="246"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46"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46"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46"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46"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46"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46"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46"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46"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46"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46"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46" t="n">
        <f aca="false">MIN(B467:L467)</f>
        <v>0.00526315789473664</v>
      </c>
      <c r="N467" s="246" t="n">
        <f aca="false">SUMPRODUCT(($M$7:$M$557&gt;M467)*1)+SUMPRODUCT(($M$7:$M$557=M467)*(ROW($M$7:$M$557)&lt;ROW(M467)))+1</f>
        <v>367</v>
      </c>
      <c r="O467" s="246" t="str">
        <f aca="false">IF(M467&gt;=0.13,"★★★ EXCELLENT",IF(M467&gt;=0.12,"★★  GOOD",IF(M467&gt;=0.07,"★  FAIR",IF(M467&gt;=0.025,"⚠  MARGINAL","✗  AVOID"))))</f>
        <v>✗  AVOID</v>
      </c>
    </row>
    <row r="468" customFormat="false" ht="15" hidden="false" customHeight="true" outlineLevel="0" collapsed="false">
      <c r="A468" s="247" t="n">
        <v>51.1</v>
      </c>
      <c r="B468" s="248"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48"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48"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48"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48"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48"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48"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48"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48"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48"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48"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48" t="n">
        <f aca="false">MIN(B468:L468)</f>
        <v>0.0101754385964909</v>
      </c>
      <c r="N468" s="248" t="n">
        <f aca="false">SUMPRODUCT(($M$7:$M$557&gt;M468)*1)+SUMPRODUCT(($M$7:$M$557=M468)*(ROW($M$7:$M$557)&lt;ROW(M468)))+1</f>
        <v>352</v>
      </c>
      <c r="O468" s="248" t="str">
        <f aca="false">IF(M468&gt;=0.13,"★★★ EXCELLENT",IF(M468&gt;=0.12,"★★  GOOD",IF(M468&gt;=0.07,"★  FAIR",IF(M468&gt;=0.025,"⚠  MARGINAL","✗  AVOID"))))</f>
        <v>✗  AVOID</v>
      </c>
    </row>
    <row r="469" customFormat="false" ht="15" hidden="false" customHeight="true" outlineLevel="0" collapsed="false">
      <c r="A469" s="245" t="n">
        <v>51.2</v>
      </c>
      <c r="B469" s="246"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46"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46"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46"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46"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46"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46"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46"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46"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46"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46"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46" t="n">
        <f aca="false">MIN(B469:L469)</f>
        <v>0.0150877192982457</v>
      </c>
      <c r="N469" s="246" t="n">
        <f aca="false">SUMPRODUCT(($M$7:$M$557&gt;M469)*1)+SUMPRODUCT(($M$7:$M$557=M469)*(ROW($M$7:$M$557)&lt;ROW(M469)))+1</f>
        <v>338</v>
      </c>
      <c r="O469" s="246" t="str">
        <f aca="false">IF(M469&gt;=0.13,"★★★ EXCELLENT",IF(M469&gt;=0.12,"★★  GOOD",IF(M469&gt;=0.07,"★  FAIR",IF(M469&gt;=0.025,"⚠  MARGINAL","✗  AVOID"))))</f>
        <v>✗  AVOID</v>
      </c>
    </row>
    <row r="470" customFormat="false" ht="15" hidden="false" customHeight="true" outlineLevel="0" collapsed="false">
      <c r="A470" s="247" t="n">
        <v>51.3</v>
      </c>
      <c r="B470" s="248"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48"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48"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48"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48"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48"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48"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48"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48"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48"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48"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48" t="n">
        <f aca="false">MIN(B470:L470)</f>
        <v>0.0199999999999996</v>
      </c>
      <c r="N470" s="248" t="n">
        <f aca="false">SUMPRODUCT(($M$7:$M$557&gt;M470)*1)+SUMPRODUCT(($M$7:$M$557=M470)*(ROW($M$7:$M$557)&lt;ROW(M470)))+1</f>
        <v>322</v>
      </c>
      <c r="O470" s="248" t="str">
        <f aca="false">IF(M470&gt;=0.13,"★★★ EXCELLENT",IF(M470&gt;=0.12,"★★  GOOD",IF(M470&gt;=0.07,"★  FAIR",IF(M470&gt;=0.025,"⚠  MARGINAL","✗  AVOID"))))</f>
        <v>✗  AVOID</v>
      </c>
    </row>
    <row r="471" customFormat="false" ht="15" hidden="false" customHeight="true" outlineLevel="0" collapsed="false">
      <c r="A471" s="245" t="n">
        <v>51.4</v>
      </c>
      <c r="B471" s="246"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46"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46"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46"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46"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46"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46"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46"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46"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46"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46"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46" t="n">
        <f aca="false">MIN(B471:L471)</f>
        <v>0.0249122807017543</v>
      </c>
      <c r="N471" s="246" t="n">
        <f aca="false">SUMPRODUCT(($M$7:$M$557&gt;M471)*1)+SUMPRODUCT(($M$7:$M$557=M471)*(ROW($M$7:$M$557)&lt;ROW(M471)))+1</f>
        <v>308</v>
      </c>
      <c r="O471" s="246" t="str">
        <f aca="false">IF(M471&gt;=0.13,"★★★ EXCELLENT",IF(M471&gt;=0.12,"★★  GOOD",IF(M471&gt;=0.07,"★  FAIR",IF(M471&gt;=0.025,"⚠  MARGINAL","✗  AVOID"))))</f>
        <v>✗  AVOID</v>
      </c>
    </row>
    <row r="472" customFormat="false" ht="15" hidden="false" customHeight="true" outlineLevel="0" collapsed="false">
      <c r="A472" s="247" t="n">
        <v>51.5</v>
      </c>
      <c r="B472" s="248"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48"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48"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48"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48"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48"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48"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48"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48"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48"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48"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48" t="n">
        <f aca="false">MIN(B472:L472)</f>
        <v>0.0298245614035086</v>
      </c>
      <c r="N472" s="248" t="n">
        <f aca="false">SUMPRODUCT(($M$7:$M$557&gt;M472)*1)+SUMPRODUCT(($M$7:$M$557=M472)*(ROW($M$7:$M$557)&lt;ROW(M472)))+1</f>
        <v>292</v>
      </c>
      <c r="O472" s="248" t="str">
        <f aca="false">IF(M472&gt;=0.13,"★★★ EXCELLENT",IF(M472&gt;=0.12,"★★  GOOD",IF(M472&gt;=0.07,"★  FAIR",IF(M472&gt;=0.025,"⚠  MARGINAL","✗  AVOID"))))</f>
        <v>⚠  MARGINAL</v>
      </c>
    </row>
    <row r="473" customFormat="false" ht="15" hidden="false" customHeight="true" outlineLevel="0" collapsed="false">
      <c r="A473" s="245" t="n">
        <v>51.6</v>
      </c>
      <c r="B473" s="246"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46"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46"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46"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46"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46"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46"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46"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46"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46"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46"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46" t="n">
        <f aca="false">MIN(B473:L473)</f>
        <v>0.034736842105263</v>
      </c>
      <c r="N473" s="246" t="n">
        <f aca="false">SUMPRODUCT(($M$7:$M$557&gt;M473)*1)+SUMPRODUCT(($M$7:$M$557=M473)*(ROW($M$7:$M$557)&lt;ROW(M473)))+1</f>
        <v>279</v>
      </c>
      <c r="O473" s="246" t="str">
        <f aca="false">IF(M473&gt;=0.13,"★★★ EXCELLENT",IF(M473&gt;=0.12,"★★  GOOD",IF(M473&gt;=0.07,"★  FAIR",IF(M473&gt;=0.025,"⚠  MARGINAL","✗  AVOID"))))</f>
        <v>⚠  MARGINAL</v>
      </c>
    </row>
    <row r="474" customFormat="false" ht="15" hidden="false" customHeight="true" outlineLevel="0" collapsed="false">
      <c r="A474" s="247" t="n">
        <v>51.7</v>
      </c>
      <c r="B474" s="248"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48"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48"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48"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48"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48"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48"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48"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48"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48"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48"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48" t="n">
        <f aca="false">MIN(B474:L474)</f>
        <v>0.0396491228070177</v>
      </c>
      <c r="N474" s="248" t="n">
        <f aca="false">SUMPRODUCT(($M$7:$M$557&gt;M474)*1)+SUMPRODUCT(($M$7:$M$557=M474)*(ROW($M$7:$M$557)&lt;ROW(M474)))+1</f>
        <v>264</v>
      </c>
      <c r="O474" s="248" t="str">
        <f aca="false">IF(M474&gt;=0.13,"★★★ EXCELLENT",IF(M474&gt;=0.12,"★★  GOOD",IF(M474&gt;=0.07,"★  FAIR",IF(M474&gt;=0.025,"⚠  MARGINAL","✗  AVOID"))))</f>
        <v>⚠  MARGINAL</v>
      </c>
    </row>
    <row r="475" customFormat="false" ht="15" hidden="false" customHeight="true" outlineLevel="0" collapsed="false">
      <c r="A475" s="245" t="n">
        <v>51.8</v>
      </c>
      <c r="B475" s="246"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46"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46"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46"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46"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46"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46"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46"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46"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46"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46"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46" t="n">
        <f aca="false">MIN(B475:L475)</f>
        <v>0.0445614035087716</v>
      </c>
      <c r="N475" s="246" t="n">
        <f aca="false">SUMPRODUCT(($M$7:$M$557&gt;M475)*1)+SUMPRODUCT(($M$7:$M$557=M475)*(ROW($M$7:$M$557)&lt;ROW(M475)))+1</f>
        <v>249</v>
      </c>
      <c r="O475" s="246" t="str">
        <f aca="false">IF(M475&gt;=0.13,"★★★ EXCELLENT",IF(M475&gt;=0.12,"★★  GOOD",IF(M475&gt;=0.07,"★  FAIR",IF(M475&gt;=0.025,"⚠  MARGINAL","✗  AVOID"))))</f>
        <v>⚠  MARGINAL</v>
      </c>
    </row>
    <row r="476" customFormat="false" ht="15" hidden="false" customHeight="true" outlineLevel="0" collapsed="false">
      <c r="A476" s="247" t="n">
        <v>51.9</v>
      </c>
      <c r="B476" s="248"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48"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48"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48"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48"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48"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48"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48"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48"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48"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48"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48" t="n">
        <f aca="false">MIN(B476:L476)</f>
        <v>0.0494736842105263</v>
      </c>
      <c r="N476" s="248" t="n">
        <f aca="false">SUMPRODUCT(($M$7:$M$557&gt;M476)*1)+SUMPRODUCT(($M$7:$M$557=M476)*(ROW($M$7:$M$557)&lt;ROW(M476)))+1</f>
        <v>234</v>
      </c>
      <c r="O476" s="248" t="str">
        <f aca="false">IF(M476&gt;=0.13,"★★★ EXCELLENT",IF(M476&gt;=0.12,"★★  GOOD",IF(M476&gt;=0.07,"★  FAIR",IF(M476&gt;=0.025,"⚠  MARGINAL","✗  AVOID"))))</f>
        <v>⚠  MARGINAL</v>
      </c>
    </row>
    <row r="477" customFormat="false" ht="15" hidden="false" customHeight="true" outlineLevel="0" collapsed="false">
      <c r="A477" s="245" t="n">
        <v>52</v>
      </c>
      <c r="B477" s="246"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46"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46"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46"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46"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46"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46"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46"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46"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46"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46"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46" t="n">
        <f aca="false">MIN(B477:L477)</f>
        <v>0.0543859649122807</v>
      </c>
      <c r="N477" s="246" t="n">
        <f aca="false">SUMPRODUCT(($M$7:$M$557&gt;M477)*1)+SUMPRODUCT(($M$7:$M$557=M477)*(ROW($M$7:$M$557)&lt;ROW(M477)))+1</f>
        <v>219</v>
      </c>
      <c r="O477" s="246" t="str">
        <f aca="false">IF(M477&gt;=0.13,"★★★ EXCELLENT",IF(M477&gt;=0.12,"★★  GOOD",IF(M477&gt;=0.07,"★  FAIR",IF(M477&gt;=0.025,"⚠  MARGINAL","✗  AVOID"))))</f>
        <v>⚠  MARGINAL</v>
      </c>
    </row>
    <row r="478" customFormat="false" ht="15" hidden="false" customHeight="true" outlineLevel="0" collapsed="false">
      <c r="A478" s="247" t="n">
        <v>52.1</v>
      </c>
      <c r="B478" s="248"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48"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48"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48"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48"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48"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48"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48"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48"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48"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48"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48" t="n">
        <f aca="false">MIN(B478:L478)</f>
        <v>0.059298245614035</v>
      </c>
      <c r="N478" s="248" t="n">
        <f aca="false">SUMPRODUCT(($M$7:$M$557&gt;M478)*1)+SUMPRODUCT(($M$7:$M$557=M478)*(ROW($M$7:$M$557)&lt;ROW(M478)))+1</f>
        <v>205</v>
      </c>
      <c r="O478" s="248" t="str">
        <f aca="false">IF(M478&gt;=0.13,"★★★ EXCELLENT",IF(M478&gt;=0.12,"★★  GOOD",IF(M478&gt;=0.07,"★  FAIR",IF(M478&gt;=0.025,"⚠  MARGINAL","✗  AVOID"))))</f>
        <v>⚠  MARGINAL</v>
      </c>
    </row>
    <row r="479" customFormat="false" ht="15" hidden="false" customHeight="true" outlineLevel="0" collapsed="false">
      <c r="A479" s="245" t="n">
        <v>52.2</v>
      </c>
      <c r="B479" s="246"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46"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46"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46"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46"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46"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46"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46"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46"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46"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46"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46" t="n">
        <f aca="false">MIN(B479:L479)</f>
        <v>0.0642105263157897</v>
      </c>
      <c r="N479" s="246" t="n">
        <f aca="false">SUMPRODUCT(($M$7:$M$557&gt;M479)*1)+SUMPRODUCT(($M$7:$M$557=M479)*(ROW($M$7:$M$557)&lt;ROW(M479)))+1</f>
        <v>190</v>
      </c>
      <c r="O479" s="246" t="str">
        <f aca="false">IF(M479&gt;=0.13,"★★★ EXCELLENT",IF(M479&gt;=0.12,"★★  GOOD",IF(M479&gt;=0.07,"★  FAIR",IF(M479&gt;=0.025,"⚠  MARGINAL","✗  AVOID"))))</f>
        <v>⚠  MARGINAL</v>
      </c>
    </row>
    <row r="480" customFormat="false" ht="15" hidden="false" customHeight="true" outlineLevel="0" collapsed="false">
      <c r="A480" s="247" t="n">
        <v>52.3</v>
      </c>
      <c r="B480" s="248"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48"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48"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48"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48"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48"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48"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48"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48"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48"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48"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48" t="n">
        <f aca="false">MIN(B480:L480)</f>
        <v>0.0691228070175436</v>
      </c>
      <c r="N480" s="248" t="n">
        <f aca="false">SUMPRODUCT(($M$7:$M$557&gt;M480)*1)+SUMPRODUCT(($M$7:$M$557=M480)*(ROW($M$7:$M$557)&lt;ROW(M480)))+1</f>
        <v>176</v>
      </c>
      <c r="O480" s="248" t="str">
        <f aca="false">IF(M480&gt;=0.13,"★★★ EXCELLENT",IF(M480&gt;=0.12,"★★  GOOD",IF(M480&gt;=0.07,"★  FAIR",IF(M480&gt;=0.025,"⚠  MARGINAL","✗  AVOID"))))</f>
        <v>⚠  MARGINAL</v>
      </c>
    </row>
    <row r="481" customFormat="false" ht="15" hidden="false" customHeight="true" outlineLevel="0" collapsed="false">
      <c r="A481" s="245" t="n">
        <v>52.4</v>
      </c>
      <c r="B481" s="246"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46"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46"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46"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46"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46"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46"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46"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46"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46"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46"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46" t="n">
        <f aca="false">MIN(B481:L481)</f>
        <v>0.0740350877192983</v>
      </c>
      <c r="N481" s="246" t="n">
        <f aca="false">SUMPRODUCT(($M$7:$M$557&gt;M481)*1)+SUMPRODUCT(($M$7:$M$557=M481)*(ROW($M$7:$M$557)&lt;ROW(M481)))+1</f>
        <v>160</v>
      </c>
      <c r="O481" s="246" t="str">
        <f aca="false">IF(M481&gt;=0.13,"★★★ EXCELLENT",IF(M481&gt;=0.12,"★★  GOOD",IF(M481&gt;=0.07,"★  FAIR",IF(M481&gt;=0.025,"⚠  MARGINAL","✗  AVOID"))))</f>
        <v>★  FAIR</v>
      </c>
    </row>
    <row r="482" customFormat="false" ht="15" hidden="false" customHeight="true" outlineLevel="0" collapsed="false">
      <c r="A482" s="247" t="n">
        <v>52.5</v>
      </c>
      <c r="B482" s="248"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48"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48"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48"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48"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48"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48"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48"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48"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48"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48"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48" t="n">
        <f aca="false">MIN(B482:L482)</f>
        <v>0.0789473684210527</v>
      </c>
      <c r="N482" s="248" t="n">
        <f aca="false">SUMPRODUCT(($M$7:$M$557&gt;M482)*1)+SUMPRODUCT(($M$7:$M$557=M482)*(ROW($M$7:$M$557)&lt;ROW(M482)))+1</f>
        <v>147</v>
      </c>
      <c r="O482" s="248" t="str">
        <f aca="false">IF(M482&gt;=0.13,"★★★ EXCELLENT",IF(M482&gt;=0.12,"★★  GOOD",IF(M482&gt;=0.07,"★  FAIR",IF(M482&gt;=0.025,"⚠  MARGINAL","✗  AVOID"))))</f>
        <v>★  FAIR</v>
      </c>
    </row>
    <row r="483" customFormat="false" ht="15" hidden="false" customHeight="true" outlineLevel="0" collapsed="false">
      <c r="A483" s="245" t="n">
        <v>52.6</v>
      </c>
      <c r="B483" s="246"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46"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46"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46"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46"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46"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46"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46"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46"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46"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46"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46" t="n">
        <f aca="false">MIN(B483:L483)</f>
        <v>0.083859649122807</v>
      </c>
      <c r="N483" s="246" t="n">
        <f aca="false">SUMPRODUCT(($M$7:$M$557&gt;M483)*1)+SUMPRODUCT(($M$7:$M$557=M483)*(ROW($M$7:$M$557)&lt;ROW(M483)))+1</f>
        <v>131</v>
      </c>
      <c r="O483" s="246" t="str">
        <f aca="false">IF(M483&gt;=0.13,"★★★ EXCELLENT",IF(M483&gt;=0.12,"★★  GOOD",IF(M483&gt;=0.07,"★  FAIR",IF(M483&gt;=0.025,"⚠  MARGINAL","✗  AVOID"))))</f>
        <v>★  FAIR</v>
      </c>
    </row>
    <row r="484" customFormat="false" ht="15" hidden="false" customHeight="true" outlineLevel="0" collapsed="false">
      <c r="A484" s="247" t="n">
        <v>52.7</v>
      </c>
      <c r="B484" s="248"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48"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48"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48"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48"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48"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48"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48"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48"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48"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48"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48" t="n">
        <f aca="false">MIN(B484:L484)</f>
        <v>0.0887719298245617</v>
      </c>
      <c r="N484" s="248" t="n">
        <f aca="false">SUMPRODUCT(($M$7:$M$557&gt;M484)*1)+SUMPRODUCT(($M$7:$M$557=M484)*(ROW($M$7:$M$557)&lt;ROW(M484)))+1</f>
        <v>117</v>
      </c>
      <c r="O484" s="248" t="str">
        <f aca="false">IF(M484&gt;=0.13,"★★★ EXCELLENT",IF(M484&gt;=0.12,"★★  GOOD",IF(M484&gt;=0.07,"★  FAIR",IF(M484&gt;=0.025,"⚠  MARGINAL","✗  AVOID"))))</f>
        <v>★  FAIR</v>
      </c>
    </row>
    <row r="485" customFormat="false" ht="15" hidden="false" customHeight="true" outlineLevel="0" collapsed="false">
      <c r="A485" s="245" t="n">
        <v>52.8</v>
      </c>
      <c r="B485" s="246"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46"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46"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46"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46"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46"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46"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46"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46"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46"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46"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46" t="n">
        <f aca="false">MIN(B485:L485)</f>
        <v>0.0936842105263156</v>
      </c>
      <c r="N485" s="246" t="n">
        <f aca="false">SUMPRODUCT(($M$7:$M$557&gt;M485)*1)+SUMPRODUCT(($M$7:$M$557=M485)*(ROW($M$7:$M$557)&lt;ROW(M485)))+1</f>
        <v>103</v>
      </c>
      <c r="O485" s="246" t="str">
        <f aca="false">IF(M485&gt;=0.13,"★★★ EXCELLENT",IF(M485&gt;=0.12,"★★  GOOD",IF(M485&gt;=0.07,"★  FAIR",IF(M485&gt;=0.025,"⚠  MARGINAL","✗  AVOID"))))</f>
        <v>★  FAIR</v>
      </c>
    </row>
    <row r="486" customFormat="false" ht="15" hidden="false" customHeight="true" outlineLevel="0" collapsed="false">
      <c r="A486" s="247" t="n">
        <v>52.9</v>
      </c>
      <c r="B486" s="248"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48"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48"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48"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48"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48"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48"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48"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48"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48"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48"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48" t="n">
        <f aca="false">MIN(B486:L486)</f>
        <v>0.0985964912280704</v>
      </c>
      <c r="N486" s="248" t="n">
        <f aca="false">SUMPRODUCT(($M$7:$M$557&gt;M486)*1)+SUMPRODUCT(($M$7:$M$557=M486)*(ROW($M$7:$M$557)&lt;ROW(M486)))+1</f>
        <v>90</v>
      </c>
      <c r="O486" s="248" t="str">
        <f aca="false">IF(M486&gt;=0.13,"★★★ EXCELLENT",IF(M486&gt;=0.12,"★★  GOOD",IF(M486&gt;=0.07,"★  FAIR",IF(M486&gt;=0.025,"⚠  MARGINAL","✗  AVOID"))))</f>
        <v>★  FAIR</v>
      </c>
    </row>
    <row r="487" customFormat="false" ht="15" hidden="false" customHeight="true" outlineLevel="0" collapsed="false">
      <c r="A487" s="245" t="n">
        <v>53</v>
      </c>
      <c r="B487" s="246"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46"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46"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46"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46"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46"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46"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46"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46"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46"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46"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46" t="n">
        <f aca="false">MIN(B487:L487)</f>
        <v>0.103508771929825</v>
      </c>
      <c r="N487" s="246" t="n">
        <f aca="false">SUMPRODUCT(($M$7:$M$557&gt;M487)*1)+SUMPRODUCT(($M$7:$M$557=M487)*(ROW($M$7:$M$557)&lt;ROW(M487)))+1</f>
        <v>78</v>
      </c>
      <c r="O487" s="246" t="str">
        <f aca="false">IF(M487&gt;=0.13,"★★★ EXCELLENT",IF(M487&gt;=0.12,"★★  GOOD",IF(M487&gt;=0.07,"★  FAIR",IF(M487&gt;=0.025,"⚠  MARGINAL","✗  AVOID"))))</f>
        <v>★  FAIR</v>
      </c>
    </row>
    <row r="488" customFormat="false" ht="15" hidden="false" customHeight="true" outlineLevel="0" collapsed="false">
      <c r="A488" s="247" t="n">
        <v>53.1</v>
      </c>
      <c r="B488" s="248"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48"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48"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48"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48"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48"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48"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48"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48"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48"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48"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48" t="n">
        <f aca="false">MIN(B488:L488)</f>
        <v>0.108421052631579</v>
      </c>
      <c r="N488" s="248" t="n">
        <f aca="false">SUMPRODUCT(($M$7:$M$557&gt;M488)*1)+SUMPRODUCT(($M$7:$M$557=M488)*(ROW($M$7:$M$557)&lt;ROW(M488)))+1</f>
        <v>67</v>
      </c>
      <c r="O488" s="248" t="str">
        <f aca="false">IF(M488&gt;=0.13,"★★★ EXCELLENT",IF(M488&gt;=0.12,"★★  GOOD",IF(M488&gt;=0.07,"★  FAIR",IF(M488&gt;=0.025,"⚠  MARGINAL","✗  AVOID"))))</f>
        <v>★  FAIR</v>
      </c>
    </row>
    <row r="489" customFormat="false" ht="15" hidden="false" customHeight="true" outlineLevel="0" collapsed="false">
      <c r="A489" s="245" t="n">
        <v>53.2</v>
      </c>
      <c r="B489" s="246"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46"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46"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46"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46"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46"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46"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46"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46"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46"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46"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46" t="n">
        <f aca="false">MIN(B489:L489)</f>
        <v>0.113333333333334</v>
      </c>
      <c r="N489" s="246" t="n">
        <f aca="false">SUMPRODUCT(($M$7:$M$557&gt;M489)*1)+SUMPRODUCT(($M$7:$M$557=M489)*(ROW($M$7:$M$557)&lt;ROW(M489)))+1</f>
        <v>55</v>
      </c>
      <c r="O489" s="246" t="str">
        <f aca="false">IF(M489&gt;=0.13,"★★★ EXCELLENT",IF(M489&gt;=0.12,"★★  GOOD",IF(M489&gt;=0.07,"★  FAIR",IF(M489&gt;=0.025,"⚠  MARGINAL","✗  AVOID"))))</f>
        <v>★  FAIR</v>
      </c>
    </row>
    <row r="490" customFormat="false" ht="15" hidden="false" customHeight="true" outlineLevel="0" collapsed="false">
      <c r="A490" s="247" t="n">
        <v>53.3</v>
      </c>
      <c r="B490" s="248"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48"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48"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48"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48"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48"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48"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48"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48"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48"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48"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48" t="n">
        <f aca="false">MIN(B490:L490)</f>
        <v>0.118245614035088</v>
      </c>
      <c r="N490" s="248" t="n">
        <f aca="false">SUMPRODUCT(($M$7:$M$557&gt;M490)*1)+SUMPRODUCT(($M$7:$M$557=M490)*(ROW($M$7:$M$557)&lt;ROW(M490)))+1</f>
        <v>44</v>
      </c>
      <c r="O490" s="248" t="str">
        <f aca="false">IF(M490&gt;=0.13,"★★★ EXCELLENT",IF(M490&gt;=0.12,"★★  GOOD",IF(M490&gt;=0.07,"★  FAIR",IF(M490&gt;=0.025,"⚠  MARGINAL","✗  AVOID"))))</f>
        <v>★  FAIR</v>
      </c>
    </row>
    <row r="491" customFormat="false" ht="15" hidden="false" customHeight="true" outlineLevel="0" collapsed="false">
      <c r="A491" s="245" t="n">
        <v>53.4</v>
      </c>
      <c r="B491" s="246"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46"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46"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46"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46"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46"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46"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46"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46"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46"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46"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46" t="n">
        <f aca="false">MIN(B491:L491)</f>
        <v>0.122526315789474</v>
      </c>
      <c r="N491" s="246" t="n">
        <f aca="false">SUMPRODUCT(($M$7:$M$557&gt;M491)*1)+SUMPRODUCT(($M$7:$M$557=M491)*(ROW($M$7:$M$557)&lt;ROW(M491)))+1</f>
        <v>34</v>
      </c>
      <c r="O491" s="246" t="str">
        <f aca="false">IF(M491&gt;=0.13,"★★★ EXCELLENT",IF(M491&gt;=0.12,"★★  GOOD",IF(M491&gt;=0.07,"★  FAIR",IF(M491&gt;=0.025,"⚠  MARGINAL","✗  AVOID"))))</f>
        <v>★★  GOOD</v>
      </c>
    </row>
    <row r="492" customFormat="false" ht="15" hidden="false" customHeight="true" outlineLevel="0" collapsed="false">
      <c r="A492" s="247" t="n">
        <v>53.5</v>
      </c>
      <c r="B492" s="248"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48"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48"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48"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48"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48"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48"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48"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48"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48"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48"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48" t="n">
        <f aca="false">MIN(B492:L492)</f>
        <v>0.112456140350877</v>
      </c>
      <c r="N492" s="248" t="n">
        <f aca="false">SUMPRODUCT(($M$7:$M$557&gt;M492)*1)+SUMPRODUCT(($M$7:$M$557=M492)*(ROW($M$7:$M$557)&lt;ROW(M492)))+1</f>
        <v>56</v>
      </c>
      <c r="O492" s="248" t="str">
        <f aca="false">IF(M492&gt;=0.13,"★★★ EXCELLENT",IF(M492&gt;=0.12,"★★  GOOD",IF(M492&gt;=0.07,"★  FAIR",IF(M492&gt;=0.025,"⚠  MARGINAL","✗  AVOID"))))</f>
        <v>★  FAIR</v>
      </c>
    </row>
    <row r="493" customFormat="false" ht="15" hidden="false" customHeight="true" outlineLevel="0" collapsed="false">
      <c r="A493" s="245" t="n">
        <v>53.6</v>
      </c>
      <c r="B493" s="246"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46"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46"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46"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46"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46"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46"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46"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46"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46"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46"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46" t="n">
        <f aca="false">MIN(B493:L493)</f>
        <v>0.102385964912281</v>
      </c>
      <c r="N493" s="246" t="n">
        <f aca="false">SUMPRODUCT(($M$7:$M$557&gt;M493)*1)+SUMPRODUCT(($M$7:$M$557=M493)*(ROW($M$7:$M$557)&lt;ROW(M493)))+1</f>
        <v>81</v>
      </c>
      <c r="O493" s="246" t="str">
        <f aca="false">IF(M493&gt;=0.13,"★★★ EXCELLENT",IF(M493&gt;=0.12,"★★  GOOD",IF(M493&gt;=0.07,"★  FAIR",IF(M493&gt;=0.025,"⚠  MARGINAL","✗  AVOID"))))</f>
        <v>★  FAIR</v>
      </c>
    </row>
    <row r="494" customFormat="false" ht="15" hidden="false" customHeight="true" outlineLevel="0" collapsed="false">
      <c r="A494" s="247" t="n">
        <v>53.7</v>
      </c>
      <c r="B494" s="248"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48"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48"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48"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48"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48"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48"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48"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48"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48"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48"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48" t="n">
        <f aca="false">MIN(B494:L494)</f>
        <v>0.0923157894736839</v>
      </c>
      <c r="N494" s="248" t="n">
        <f aca="false">SUMPRODUCT(($M$7:$M$557&gt;M494)*1)+SUMPRODUCT(($M$7:$M$557=M494)*(ROW($M$7:$M$557)&lt;ROW(M494)))+1</f>
        <v>107</v>
      </c>
      <c r="O494" s="248" t="str">
        <f aca="false">IF(M494&gt;=0.13,"★★★ EXCELLENT",IF(M494&gt;=0.12,"★★  GOOD",IF(M494&gt;=0.07,"★  FAIR",IF(M494&gt;=0.025,"⚠  MARGINAL","✗  AVOID"))))</f>
        <v>★  FAIR</v>
      </c>
    </row>
    <row r="495" customFormat="false" ht="15" hidden="false" customHeight="true" outlineLevel="0" collapsed="false">
      <c r="A495" s="245" t="n">
        <v>53.8</v>
      </c>
      <c r="B495" s="246"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46"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46"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46"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46"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46"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46"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46"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46"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46"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46"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46" t="n">
        <f aca="false">MIN(B495:L495)</f>
        <v>0.082245614035088</v>
      </c>
      <c r="N495" s="246" t="n">
        <f aca="false">SUMPRODUCT(($M$7:$M$557&gt;M495)*1)+SUMPRODUCT(($M$7:$M$557=M495)*(ROW($M$7:$M$557)&lt;ROW(M495)))+1</f>
        <v>135</v>
      </c>
      <c r="O495" s="246" t="str">
        <f aca="false">IF(M495&gt;=0.13,"★★★ EXCELLENT",IF(M495&gt;=0.12,"★★  GOOD",IF(M495&gt;=0.07,"★  FAIR",IF(M495&gt;=0.025,"⚠  MARGINAL","✗  AVOID"))))</f>
        <v>★  FAIR</v>
      </c>
    </row>
    <row r="496" customFormat="false" ht="15" hidden="false" customHeight="true" outlineLevel="0" collapsed="false">
      <c r="A496" s="247" t="n">
        <v>53.9</v>
      </c>
      <c r="B496" s="248"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48"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48"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48"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48"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48"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48"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48"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48"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48"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48"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48" t="n">
        <f aca="false">MIN(B496:L496)</f>
        <v>0.0721754385964921</v>
      </c>
      <c r="N496" s="248" t="n">
        <f aca="false">SUMPRODUCT(($M$7:$M$557&gt;M496)*1)+SUMPRODUCT(($M$7:$M$557=M496)*(ROW($M$7:$M$557)&lt;ROW(M496)))+1</f>
        <v>165</v>
      </c>
      <c r="O496" s="248" t="str">
        <f aca="false">IF(M496&gt;=0.13,"★★★ EXCELLENT",IF(M496&gt;=0.12,"★★  GOOD",IF(M496&gt;=0.07,"★  FAIR",IF(M496&gt;=0.025,"⚠  MARGINAL","✗  AVOID"))))</f>
        <v>★  FAIR</v>
      </c>
    </row>
    <row r="497" customFormat="false" ht="15" hidden="false" customHeight="true" outlineLevel="0" collapsed="false">
      <c r="A497" s="245" t="n">
        <v>54</v>
      </c>
      <c r="B497" s="246"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46"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46"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46"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46"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46"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46"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46"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46"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46"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46"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46" t="n">
        <f aca="false">MIN(B497:L497)</f>
        <v>0.0621052631578953</v>
      </c>
      <c r="N497" s="246" t="n">
        <f aca="false">SUMPRODUCT(($M$7:$M$557&gt;M497)*1)+SUMPRODUCT(($M$7:$M$557=M497)*(ROW($M$7:$M$557)&lt;ROW(M497)))+1</f>
        <v>195</v>
      </c>
      <c r="O497" s="246" t="str">
        <f aca="false">IF(M497&gt;=0.13,"★★★ EXCELLENT",IF(M497&gt;=0.12,"★★  GOOD",IF(M497&gt;=0.07,"★  FAIR",IF(M497&gt;=0.025,"⚠  MARGINAL","✗  AVOID"))))</f>
        <v>⚠  MARGINAL</v>
      </c>
    </row>
    <row r="498" customFormat="false" ht="15" hidden="false" customHeight="true" outlineLevel="0" collapsed="false">
      <c r="A498" s="247" t="n">
        <v>54.1</v>
      </c>
      <c r="B498" s="248"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48"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48"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48"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48"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48"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48"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48"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48"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48"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48"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48" t="n">
        <f aca="false">MIN(B498:L498)</f>
        <v>0.0520350877192977</v>
      </c>
      <c r="N498" s="248" t="n">
        <f aca="false">SUMPRODUCT(($M$7:$M$557&gt;M498)*1)+SUMPRODUCT(($M$7:$M$557=M498)*(ROW($M$7:$M$557)&lt;ROW(M498)))+1</f>
        <v>227</v>
      </c>
      <c r="O498" s="248" t="str">
        <f aca="false">IF(M498&gt;=0.13,"★★★ EXCELLENT",IF(M498&gt;=0.12,"★★  GOOD",IF(M498&gt;=0.07,"★  FAIR",IF(M498&gt;=0.025,"⚠  MARGINAL","✗  AVOID"))))</f>
        <v>⚠  MARGINAL</v>
      </c>
    </row>
    <row r="499" customFormat="false" ht="15" hidden="false" customHeight="true" outlineLevel="0" collapsed="false">
      <c r="A499" s="245" t="n">
        <v>54.2</v>
      </c>
      <c r="B499" s="246"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46"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46"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46"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46"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46"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46"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46"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46"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46"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46"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46" t="n">
        <f aca="false">MIN(B499:L499)</f>
        <v>0.0419649122807018</v>
      </c>
      <c r="N499" s="246" t="n">
        <f aca="false">SUMPRODUCT(($M$7:$M$557&gt;M499)*1)+SUMPRODUCT(($M$7:$M$557=M499)*(ROW($M$7:$M$557)&lt;ROW(M499)))+1</f>
        <v>257</v>
      </c>
      <c r="O499" s="246" t="str">
        <f aca="false">IF(M499&gt;=0.13,"★★★ EXCELLENT",IF(M499&gt;=0.12,"★★  GOOD",IF(M499&gt;=0.07,"★  FAIR",IF(M499&gt;=0.025,"⚠  MARGINAL","✗  AVOID"))))</f>
        <v>⚠  MARGINAL</v>
      </c>
    </row>
    <row r="500" customFormat="false" ht="15" hidden="false" customHeight="true" outlineLevel="0" collapsed="false">
      <c r="A500" s="247" t="n">
        <v>54.3</v>
      </c>
      <c r="B500" s="248"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48"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48"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48"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48"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48"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48"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48"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48"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48"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48"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48" t="n">
        <f aca="false">MIN(B500:L500)</f>
        <v>0.0318947368421059</v>
      </c>
      <c r="N500" s="248" t="n">
        <f aca="false">SUMPRODUCT(($M$7:$M$557&gt;M500)*1)+SUMPRODUCT(($M$7:$M$557=M500)*(ROW($M$7:$M$557)&lt;ROW(M500)))+1</f>
        <v>286</v>
      </c>
      <c r="O500" s="248" t="str">
        <f aca="false">IF(M500&gt;=0.13,"★★★ EXCELLENT",IF(M500&gt;=0.12,"★★  GOOD",IF(M500&gt;=0.07,"★  FAIR",IF(M500&gt;=0.025,"⚠  MARGINAL","✗  AVOID"))))</f>
        <v>⚠  MARGINAL</v>
      </c>
    </row>
    <row r="501" customFormat="false" ht="15" hidden="false" customHeight="true" outlineLevel="0" collapsed="false">
      <c r="A501" s="245" t="n">
        <v>54.4</v>
      </c>
      <c r="B501" s="246"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46"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46"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46"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46"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46"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46"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46"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46"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46"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46"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46" t="n">
        <f aca="false">MIN(B501:L501)</f>
        <v>0.0218245614035091</v>
      </c>
      <c r="N501" s="246" t="n">
        <f aca="false">SUMPRODUCT(($M$7:$M$557&gt;M501)*1)+SUMPRODUCT(($M$7:$M$557=M501)*(ROW($M$7:$M$557)&lt;ROW(M501)))+1</f>
        <v>316</v>
      </c>
      <c r="O501" s="246" t="str">
        <f aca="false">IF(M501&gt;=0.13,"★★★ EXCELLENT",IF(M501&gt;=0.12,"★★  GOOD",IF(M501&gt;=0.07,"★  FAIR",IF(M501&gt;=0.025,"⚠  MARGINAL","✗  AVOID"))))</f>
        <v>✗  AVOID</v>
      </c>
    </row>
    <row r="502" customFormat="false" ht="15" hidden="false" customHeight="true" outlineLevel="0" collapsed="false">
      <c r="A502" s="247" t="n">
        <v>54.5</v>
      </c>
      <c r="B502" s="248"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48"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48"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48"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48"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48"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48"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48"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48"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48"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48"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48" t="n">
        <f aca="false">MIN(B502:L502)</f>
        <v>0.0117543859649132</v>
      </c>
      <c r="N502" s="248" t="n">
        <f aca="false">SUMPRODUCT(($M$7:$M$557&gt;M502)*1)+SUMPRODUCT(($M$7:$M$557=M502)*(ROW($M$7:$M$557)&lt;ROW(M502)))+1</f>
        <v>347</v>
      </c>
      <c r="O502" s="248" t="str">
        <f aca="false">IF(M502&gt;=0.13,"★★★ EXCELLENT",IF(M502&gt;=0.12,"★★  GOOD",IF(M502&gt;=0.07,"★  FAIR",IF(M502&gt;=0.025,"⚠  MARGINAL","✗  AVOID"))))</f>
        <v>✗  AVOID</v>
      </c>
    </row>
    <row r="503" customFormat="false" ht="15" hidden="false" customHeight="true" outlineLevel="0" collapsed="false">
      <c r="A503" s="245" t="n">
        <v>54.6</v>
      </c>
      <c r="B503" s="246"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46"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46"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46"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46"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46"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46"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46"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46"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46"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46"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46" t="n">
        <f aca="false">MIN(B503:L503)</f>
        <v>0.00168421052631551</v>
      </c>
      <c r="N503" s="246" t="n">
        <f aca="false">SUMPRODUCT(($M$7:$M$557&gt;M503)*1)+SUMPRODUCT(($M$7:$M$557=M503)*(ROW($M$7:$M$557)&lt;ROW(M503)))+1</f>
        <v>378</v>
      </c>
      <c r="O503" s="246" t="str">
        <f aca="false">IF(M503&gt;=0.13,"★★★ EXCELLENT",IF(M503&gt;=0.12,"★★  GOOD",IF(M503&gt;=0.07,"★  FAIR",IF(M503&gt;=0.025,"⚠  MARGINAL","✗  AVOID"))))</f>
        <v>✗  AVOID</v>
      </c>
    </row>
    <row r="504" customFormat="false" ht="15" hidden="false" customHeight="true" outlineLevel="0" collapsed="false">
      <c r="A504" s="247" t="n">
        <v>54.7</v>
      </c>
      <c r="B504" s="248"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48"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48"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48"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48"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48"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48"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48"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48"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48"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48"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48" t="n">
        <f aca="false">MIN(B504:L504)</f>
        <v>0</v>
      </c>
      <c r="N504" s="248" t="n">
        <f aca="false">SUMPRODUCT(($M$7:$M$557&gt;M504)*1)+SUMPRODUCT(($M$7:$M$557=M504)*(ROW($M$7:$M$557)&lt;ROW(M504)))+1</f>
        <v>524</v>
      </c>
      <c r="O504" s="248" t="str">
        <f aca="false">IF(M504&gt;=0.13,"★★★ EXCELLENT",IF(M504&gt;=0.12,"★★  GOOD",IF(M504&gt;=0.07,"★  FAIR",IF(M504&gt;=0.025,"⚠  MARGINAL","✗  AVOID"))))</f>
        <v>✗  AVOID</v>
      </c>
    </row>
    <row r="505" customFormat="false" ht="15" hidden="false" customHeight="true" outlineLevel="0" collapsed="false">
      <c r="A505" s="245" t="n">
        <v>54.8</v>
      </c>
      <c r="B505" s="246"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46"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46"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46"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46"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46"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46"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46"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46"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46"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46"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46" t="n">
        <f aca="false">MIN(B505:L505)</f>
        <v>0</v>
      </c>
      <c r="N505" s="246" t="n">
        <f aca="false">SUMPRODUCT(($M$7:$M$557&gt;M505)*1)+SUMPRODUCT(($M$7:$M$557=M505)*(ROW($M$7:$M$557)&lt;ROW(M505)))+1</f>
        <v>525</v>
      </c>
      <c r="O505" s="246" t="str">
        <f aca="false">IF(M505&gt;=0.13,"★★★ EXCELLENT",IF(M505&gt;=0.12,"★★  GOOD",IF(M505&gt;=0.07,"★  FAIR",IF(M505&gt;=0.025,"⚠  MARGINAL","✗  AVOID"))))</f>
        <v>✗  AVOID</v>
      </c>
    </row>
    <row r="506" customFormat="false" ht="15" hidden="false" customHeight="true" outlineLevel="0" collapsed="false">
      <c r="A506" s="247" t="n">
        <v>54.9</v>
      </c>
      <c r="B506" s="248"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48"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48"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48"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48"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48"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48"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48"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48"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48"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48"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48" t="n">
        <f aca="false">MIN(B506:L506)</f>
        <v>0</v>
      </c>
      <c r="N506" s="248" t="n">
        <f aca="false">SUMPRODUCT(($M$7:$M$557&gt;M506)*1)+SUMPRODUCT(($M$7:$M$557=M506)*(ROW($M$7:$M$557)&lt;ROW(M506)))+1</f>
        <v>526</v>
      </c>
      <c r="O506" s="248" t="str">
        <f aca="false">IF(M506&gt;=0.13,"★★★ EXCELLENT",IF(M506&gt;=0.12,"★★  GOOD",IF(M506&gt;=0.07,"★  FAIR",IF(M506&gt;=0.025,"⚠  MARGINAL","✗  AVOID"))))</f>
        <v>✗  AVOID</v>
      </c>
    </row>
    <row r="507" customFormat="false" ht="15" hidden="false" customHeight="true" outlineLevel="0" collapsed="false">
      <c r="A507" s="245" t="n">
        <v>55</v>
      </c>
      <c r="B507" s="246"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46"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46"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46"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46"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46"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46"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46"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46"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46"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46"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46" t="n">
        <f aca="false">MIN(B507:L507)</f>
        <v>0</v>
      </c>
      <c r="N507" s="246" t="n">
        <f aca="false">SUMPRODUCT(($M$7:$M$557&gt;M507)*1)+SUMPRODUCT(($M$7:$M$557=M507)*(ROW($M$7:$M$557)&lt;ROW(M507)))+1</f>
        <v>527</v>
      </c>
      <c r="O507" s="246" t="str">
        <f aca="false">IF(M507&gt;=0.13,"★★★ EXCELLENT",IF(M507&gt;=0.12,"★★  GOOD",IF(M507&gt;=0.07,"★  FAIR",IF(M507&gt;=0.025,"⚠  MARGINAL","✗  AVOID"))))</f>
        <v>✗  AVOID</v>
      </c>
    </row>
    <row r="508" customFormat="false" ht="15" hidden="false" customHeight="true" outlineLevel="0" collapsed="false">
      <c r="A508" s="247" t="n">
        <v>55.1</v>
      </c>
      <c r="B508" s="248"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48"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48"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48"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48"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48"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48"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48"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48"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48"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48"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48" t="n">
        <f aca="false">MIN(B508:L508)</f>
        <v>0</v>
      </c>
      <c r="N508" s="248" t="n">
        <f aca="false">SUMPRODUCT(($M$7:$M$557&gt;M508)*1)+SUMPRODUCT(($M$7:$M$557=M508)*(ROW($M$7:$M$557)&lt;ROW(M508)))+1</f>
        <v>528</v>
      </c>
      <c r="O508" s="248" t="str">
        <f aca="false">IF(M508&gt;=0.13,"★★★ EXCELLENT",IF(M508&gt;=0.12,"★★  GOOD",IF(M508&gt;=0.07,"★  FAIR",IF(M508&gt;=0.025,"⚠  MARGINAL","✗  AVOID"))))</f>
        <v>✗  AVOID</v>
      </c>
    </row>
    <row r="509" customFormat="false" ht="15" hidden="false" customHeight="true" outlineLevel="0" collapsed="false">
      <c r="A509" s="245" t="n">
        <v>55.2</v>
      </c>
      <c r="B509" s="246"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46"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46"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46"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46"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46"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46"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46"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46"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46"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46"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46" t="n">
        <f aca="false">MIN(B509:L509)</f>
        <v>0</v>
      </c>
      <c r="N509" s="246" t="n">
        <f aca="false">SUMPRODUCT(($M$7:$M$557&gt;M509)*1)+SUMPRODUCT(($M$7:$M$557=M509)*(ROW($M$7:$M$557)&lt;ROW(M509)))+1</f>
        <v>529</v>
      </c>
      <c r="O509" s="246" t="str">
        <f aca="false">IF(M509&gt;=0.13,"★★★ EXCELLENT",IF(M509&gt;=0.12,"★★  GOOD",IF(M509&gt;=0.07,"★  FAIR",IF(M509&gt;=0.025,"⚠  MARGINAL","✗  AVOID"))))</f>
        <v>✗  AVOID</v>
      </c>
    </row>
    <row r="510" customFormat="false" ht="15" hidden="false" customHeight="true" outlineLevel="0" collapsed="false">
      <c r="A510" s="247" t="n">
        <v>55.3</v>
      </c>
      <c r="B510" s="248"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48"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48"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48"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48"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48"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48"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48"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48"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48"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48"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48" t="n">
        <f aca="false">MIN(B510:L510)</f>
        <v>0</v>
      </c>
      <c r="N510" s="248" t="n">
        <f aca="false">SUMPRODUCT(($M$7:$M$557&gt;M510)*1)+SUMPRODUCT(($M$7:$M$557=M510)*(ROW($M$7:$M$557)&lt;ROW(M510)))+1</f>
        <v>530</v>
      </c>
      <c r="O510" s="248" t="str">
        <f aca="false">IF(M510&gt;=0.13,"★★★ EXCELLENT",IF(M510&gt;=0.12,"★★  GOOD",IF(M510&gt;=0.07,"★  FAIR",IF(M510&gt;=0.025,"⚠  MARGINAL","✗  AVOID"))))</f>
        <v>✗  AVOID</v>
      </c>
    </row>
    <row r="511" customFormat="false" ht="15" hidden="false" customHeight="true" outlineLevel="0" collapsed="false">
      <c r="A511" s="245" t="n">
        <v>55.4</v>
      </c>
      <c r="B511" s="246"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46"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46"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46"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46"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46"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46"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46"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46"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46"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46"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46" t="n">
        <f aca="false">MIN(B511:L511)</f>
        <v>0</v>
      </c>
      <c r="N511" s="246" t="n">
        <f aca="false">SUMPRODUCT(($M$7:$M$557&gt;M511)*1)+SUMPRODUCT(($M$7:$M$557=M511)*(ROW($M$7:$M$557)&lt;ROW(M511)))+1</f>
        <v>531</v>
      </c>
      <c r="O511" s="246" t="str">
        <f aca="false">IF(M511&gt;=0.13,"★★★ EXCELLENT",IF(M511&gt;=0.12,"★★  GOOD",IF(M511&gt;=0.07,"★  FAIR",IF(M511&gt;=0.025,"⚠  MARGINAL","✗  AVOID"))))</f>
        <v>✗  AVOID</v>
      </c>
    </row>
    <row r="512" customFormat="false" ht="15" hidden="false" customHeight="true" outlineLevel="0" collapsed="false">
      <c r="A512" s="247" t="n">
        <v>55.5</v>
      </c>
      <c r="B512" s="248"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48"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48"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48"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48"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48"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48"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48"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48"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48"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48"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48" t="n">
        <f aca="false">MIN(B512:L512)</f>
        <v>0</v>
      </c>
      <c r="N512" s="248" t="n">
        <f aca="false">SUMPRODUCT(($M$7:$M$557&gt;M512)*1)+SUMPRODUCT(($M$7:$M$557=M512)*(ROW($M$7:$M$557)&lt;ROW(M512)))+1</f>
        <v>532</v>
      </c>
      <c r="O512" s="248" t="str">
        <f aca="false">IF(M512&gt;=0.13,"★★★ EXCELLENT",IF(M512&gt;=0.12,"★★  GOOD",IF(M512&gt;=0.07,"★  FAIR",IF(M512&gt;=0.025,"⚠  MARGINAL","✗  AVOID"))))</f>
        <v>✗  AVOID</v>
      </c>
    </row>
    <row r="513" customFormat="false" ht="15" hidden="false" customHeight="true" outlineLevel="0" collapsed="false">
      <c r="A513" s="245" t="n">
        <v>55.6</v>
      </c>
      <c r="B513" s="246"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46"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46"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46"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46"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46"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46"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46"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46"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46"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46"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46" t="n">
        <f aca="false">MIN(B513:L513)</f>
        <v>0</v>
      </c>
      <c r="N513" s="246" t="n">
        <f aca="false">SUMPRODUCT(($M$7:$M$557&gt;M513)*1)+SUMPRODUCT(($M$7:$M$557=M513)*(ROW($M$7:$M$557)&lt;ROW(M513)))+1</f>
        <v>533</v>
      </c>
      <c r="O513" s="246" t="str">
        <f aca="false">IF(M513&gt;=0.13,"★★★ EXCELLENT",IF(M513&gt;=0.12,"★★  GOOD",IF(M513&gt;=0.07,"★  FAIR",IF(M513&gt;=0.025,"⚠  MARGINAL","✗  AVOID"))))</f>
        <v>✗  AVOID</v>
      </c>
    </row>
    <row r="514" customFormat="false" ht="15" hidden="false" customHeight="true" outlineLevel="0" collapsed="false">
      <c r="A514" s="247" t="n">
        <v>55.7</v>
      </c>
      <c r="B514" s="248"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48"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48"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48"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48"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48"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48"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48"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48"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48"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48"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48" t="n">
        <f aca="false">MIN(B514:L514)</f>
        <v>0</v>
      </c>
      <c r="N514" s="248" t="n">
        <f aca="false">SUMPRODUCT(($M$7:$M$557&gt;M514)*1)+SUMPRODUCT(($M$7:$M$557=M514)*(ROW($M$7:$M$557)&lt;ROW(M514)))+1</f>
        <v>534</v>
      </c>
      <c r="O514" s="248" t="str">
        <f aca="false">IF(M514&gt;=0.13,"★★★ EXCELLENT",IF(M514&gt;=0.12,"★★  GOOD",IF(M514&gt;=0.07,"★  FAIR",IF(M514&gt;=0.025,"⚠  MARGINAL","✗  AVOID"))))</f>
        <v>✗  AVOID</v>
      </c>
    </row>
    <row r="515" customFormat="false" ht="15" hidden="false" customHeight="true" outlineLevel="0" collapsed="false">
      <c r="A515" s="245" t="n">
        <v>55.8</v>
      </c>
      <c r="B515" s="246"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46"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46"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46"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46"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46"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46"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46"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46"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46"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46"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46" t="n">
        <f aca="false">MIN(B515:L515)</f>
        <v>0</v>
      </c>
      <c r="N515" s="246" t="n">
        <f aca="false">SUMPRODUCT(($M$7:$M$557&gt;M515)*1)+SUMPRODUCT(($M$7:$M$557=M515)*(ROW($M$7:$M$557)&lt;ROW(M515)))+1</f>
        <v>535</v>
      </c>
      <c r="O515" s="246" t="str">
        <f aca="false">IF(M515&gt;=0.13,"★★★ EXCELLENT",IF(M515&gt;=0.12,"★★  GOOD",IF(M515&gt;=0.07,"★  FAIR",IF(M515&gt;=0.025,"⚠  MARGINAL","✗  AVOID"))))</f>
        <v>✗  AVOID</v>
      </c>
    </row>
    <row r="516" customFormat="false" ht="15" hidden="false" customHeight="true" outlineLevel="0" collapsed="false">
      <c r="A516" s="247" t="n">
        <v>55.9</v>
      </c>
      <c r="B516" s="248"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48"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48"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48"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48"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48"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48"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48"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48"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48"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48"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48" t="n">
        <f aca="false">MIN(B516:L516)</f>
        <v>0</v>
      </c>
      <c r="N516" s="248" t="n">
        <f aca="false">SUMPRODUCT(($M$7:$M$557&gt;M516)*1)+SUMPRODUCT(($M$7:$M$557=M516)*(ROW($M$7:$M$557)&lt;ROW(M516)))+1</f>
        <v>536</v>
      </c>
      <c r="O516" s="248" t="str">
        <f aca="false">IF(M516&gt;=0.13,"★★★ EXCELLENT",IF(M516&gt;=0.12,"★★  GOOD",IF(M516&gt;=0.07,"★  FAIR",IF(M516&gt;=0.025,"⚠  MARGINAL","✗  AVOID"))))</f>
        <v>✗  AVOID</v>
      </c>
    </row>
    <row r="517" customFormat="false" ht="15" hidden="false" customHeight="true" outlineLevel="0" collapsed="false">
      <c r="A517" s="245" t="n">
        <v>56</v>
      </c>
      <c r="B517" s="246"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46"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46"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46"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46"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46"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46"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46"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46"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46"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46"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46" t="n">
        <f aca="false">MIN(B517:L517)</f>
        <v>0.00175438596491251</v>
      </c>
      <c r="N517" s="246" t="n">
        <f aca="false">SUMPRODUCT(($M$7:$M$557&gt;M517)*1)+SUMPRODUCT(($M$7:$M$557=M517)*(ROW($M$7:$M$557)&lt;ROW(M517)))+1</f>
        <v>377</v>
      </c>
      <c r="O517" s="246" t="str">
        <f aca="false">IF(M517&gt;=0.13,"★★★ EXCELLENT",IF(M517&gt;=0.12,"★★  GOOD",IF(M517&gt;=0.07,"★  FAIR",IF(M517&gt;=0.025,"⚠  MARGINAL","✗  AVOID"))))</f>
        <v>✗  AVOID</v>
      </c>
    </row>
    <row r="518" customFormat="false" ht="15" hidden="false" customHeight="true" outlineLevel="0" collapsed="false">
      <c r="A518" s="247" t="n">
        <v>56.1</v>
      </c>
      <c r="B518" s="248"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48"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48"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48"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48"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48"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48"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48"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48"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48"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48"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48" t="n">
        <f aca="false">MIN(B518:L518)</f>
        <v>0.0115789473684211</v>
      </c>
      <c r="N518" s="248" t="n">
        <f aca="false">SUMPRODUCT(($M$7:$M$557&gt;M518)*1)+SUMPRODUCT(($M$7:$M$557=M518)*(ROW($M$7:$M$557)&lt;ROW(M518)))+1</f>
        <v>348</v>
      </c>
      <c r="O518" s="248" t="str">
        <f aca="false">IF(M518&gt;=0.13,"★★★ EXCELLENT",IF(M518&gt;=0.12,"★★  GOOD",IF(M518&gt;=0.07,"★  FAIR",IF(M518&gt;=0.025,"⚠  MARGINAL","✗  AVOID"))))</f>
        <v>✗  AVOID</v>
      </c>
    </row>
    <row r="519" customFormat="false" ht="15" hidden="false" customHeight="true" outlineLevel="0" collapsed="false">
      <c r="A519" s="245" t="n">
        <v>56.2</v>
      </c>
      <c r="B519" s="246"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46"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46"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46"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46"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46"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46"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46"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46"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46"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46"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46" t="n">
        <f aca="false">MIN(B519:L519)</f>
        <v>0.0214035087719306</v>
      </c>
      <c r="N519" s="246" t="n">
        <f aca="false">SUMPRODUCT(($M$7:$M$557&gt;M519)*1)+SUMPRODUCT(($M$7:$M$557=M519)*(ROW($M$7:$M$557)&lt;ROW(M519)))+1</f>
        <v>319</v>
      </c>
      <c r="O519" s="246" t="str">
        <f aca="false">IF(M519&gt;=0.13,"★★★ EXCELLENT",IF(M519&gt;=0.12,"★★  GOOD",IF(M519&gt;=0.07,"★  FAIR",IF(M519&gt;=0.025,"⚠  MARGINAL","✗  AVOID"))))</f>
        <v>✗  AVOID</v>
      </c>
    </row>
    <row r="520" customFormat="false" ht="15" hidden="false" customHeight="true" outlineLevel="0" collapsed="false">
      <c r="A520" s="247" t="n">
        <v>56.3</v>
      </c>
      <c r="B520" s="248"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48"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48"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48"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48"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48"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48"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48"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48"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48"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48"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48" t="n">
        <f aca="false">MIN(B520:L520)</f>
        <v>0.0312280701754384</v>
      </c>
      <c r="N520" s="248" t="n">
        <f aca="false">SUMPRODUCT(($M$7:$M$557&gt;M520)*1)+SUMPRODUCT(($M$7:$M$557=M520)*(ROW($M$7:$M$557)&lt;ROW(M520)))+1</f>
        <v>289</v>
      </c>
      <c r="O520" s="248" t="str">
        <f aca="false">IF(M520&gt;=0.13,"★★★ EXCELLENT",IF(M520&gt;=0.12,"★★  GOOD",IF(M520&gt;=0.07,"★  FAIR",IF(M520&gt;=0.025,"⚠  MARGINAL","✗  AVOID"))))</f>
        <v>⚠  MARGINAL</v>
      </c>
    </row>
    <row r="521" customFormat="false" ht="15" hidden="false" customHeight="true" outlineLevel="0" collapsed="false">
      <c r="A521" s="245" t="n">
        <v>56.4</v>
      </c>
      <c r="B521" s="246"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46"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46"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46"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46"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46"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46"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46"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46"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46"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46"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46" t="n">
        <f aca="false">MIN(B521:L521)</f>
        <v>0.0410526315789479</v>
      </c>
      <c r="N521" s="246" t="n">
        <f aca="false">SUMPRODUCT(($M$7:$M$557&gt;M521)*1)+SUMPRODUCT(($M$7:$M$557=M521)*(ROW($M$7:$M$557)&lt;ROW(M521)))+1</f>
        <v>259</v>
      </c>
      <c r="O521" s="246" t="str">
        <f aca="false">IF(M521&gt;=0.13,"★★★ EXCELLENT",IF(M521&gt;=0.12,"★★  GOOD",IF(M521&gt;=0.07,"★  FAIR",IF(M521&gt;=0.025,"⚠  MARGINAL","✗  AVOID"))))</f>
        <v>⚠  MARGINAL</v>
      </c>
    </row>
    <row r="522" customFormat="false" ht="15" hidden="false" customHeight="true" outlineLevel="0" collapsed="false">
      <c r="A522" s="247" t="n">
        <v>56.5</v>
      </c>
      <c r="B522" s="248"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48"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48"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48"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48"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48"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48"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48"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48"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48"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48"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48" t="n">
        <f aca="false">MIN(B522:L522)</f>
        <v>0.0508771929824565</v>
      </c>
      <c r="N522" s="248" t="n">
        <f aca="false">SUMPRODUCT(($M$7:$M$557&gt;M522)*1)+SUMPRODUCT(($M$7:$M$557=M522)*(ROW($M$7:$M$557)&lt;ROW(M522)))+1</f>
        <v>230</v>
      </c>
      <c r="O522" s="248" t="str">
        <f aca="false">IF(M522&gt;=0.13,"★★★ EXCELLENT",IF(M522&gt;=0.12,"★★  GOOD",IF(M522&gt;=0.07,"★  FAIR",IF(M522&gt;=0.025,"⚠  MARGINAL","✗  AVOID"))))</f>
        <v>⚠  MARGINAL</v>
      </c>
    </row>
    <row r="523" customFormat="false" ht="15" hidden="false" customHeight="true" outlineLevel="0" collapsed="false">
      <c r="A523" s="245" t="n">
        <v>56.6</v>
      </c>
      <c r="B523" s="246"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46"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46"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46"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46"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46"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46"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46"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46"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46"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46"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46" t="n">
        <f aca="false">MIN(B523:L523)</f>
        <v>0.0607017543859651</v>
      </c>
      <c r="N523" s="246" t="n">
        <f aca="false">SUMPRODUCT(($M$7:$M$557&gt;M523)*1)+SUMPRODUCT(($M$7:$M$557=M523)*(ROW($M$7:$M$557)&lt;ROW(M523)))+1</f>
        <v>200</v>
      </c>
      <c r="O523" s="246" t="str">
        <f aca="false">IF(M523&gt;=0.13,"★★★ EXCELLENT",IF(M523&gt;=0.12,"★★  GOOD",IF(M523&gt;=0.07,"★  FAIR",IF(M523&gt;=0.025,"⚠  MARGINAL","✗  AVOID"))))</f>
        <v>⚠  MARGINAL</v>
      </c>
    </row>
    <row r="524" customFormat="false" ht="15" hidden="false" customHeight="true" outlineLevel="0" collapsed="false">
      <c r="A524" s="247" t="n">
        <v>56.7</v>
      </c>
      <c r="B524" s="248"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48"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48"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48"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48"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48"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48"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48"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48"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48"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48"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48" t="n">
        <f aca="false">MIN(B524:L524)</f>
        <v>0.0705263157894738</v>
      </c>
      <c r="N524" s="248" t="n">
        <f aca="false">SUMPRODUCT(($M$7:$M$557&gt;M524)*1)+SUMPRODUCT(($M$7:$M$557=M524)*(ROW($M$7:$M$557)&lt;ROW(M524)))+1</f>
        <v>171</v>
      </c>
      <c r="O524" s="248" t="str">
        <f aca="false">IF(M524&gt;=0.13,"★★★ EXCELLENT",IF(M524&gt;=0.12,"★★  GOOD",IF(M524&gt;=0.07,"★  FAIR",IF(M524&gt;=0.025,"⚠  MARGINAL","✗  AVOID"))))</f>
        <v>★  FAIR</v>
      </c>
    </row>
    <row r="525" customFormat="false" ht="15" hidden="false" customHeight="true" outlineLevel="0" collapsed="false">
      <c r="A525" s="245" t="n">
        <v>56.8</v>
      </c>
      <c r="B525" s="246"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46"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46"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46"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46"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46"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46"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46"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46"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46"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46"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46" t="n">
        <f aca="false">MIN(B525:L525)</f>
        <v>0.0803508771929824</v>
      </c>
      <c r="N525" s="246" t="n">
        <f aca="false">SUMPRODUCT(($M$7:$M$557&gt;M525)*1)+SUMPRODUCT(($M$7:$M$557=M525)*(ROW($M$7:$M$557)&lt;ROW(M525)))+1</f>
        <v>141</v>
      </c>
      <c r="O525" s="246" t="str">
        <f aca="false">IF(M525&gt;=0.13,"★★★ EXCELLENT",IF(M525&gt;=0.12,"★★  GOOD",IF(M525&gt;=0.07,"★  FAIR",IF(M525&gt;=0.025,"⚠  MARGINAL","✗  AVOID"))))</f>
        <v>★  FAIR</v>
      </c>
    </row>
    <row r="526" customFormat="false" ht="15" hidden="false" customHeight="true" outlineLevel="0" collapsed="false">
      <c r="A526" s="247" t="n">
        <v>56.9</v>
      </c>
      <c r="B526" s="248"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48"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48"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48"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48"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48"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48"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48"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48"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48"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48"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48" t="n">
        <f aca="false">MIN(B526:L526)</f>
        <v>0.085122807017544</v>
      </c>
      <c r="N526" s="248" t="n">
        <f aca="false">SUMPRODUCT(($M$7:$M$557&gt;M526)*1)+SUMPRODUCT(($M$7:$M$557=M526)*(ROW($M$7:$M$557)&lt;ROW(M526)))+1</f>
        <v>127</v>
      </c>
      <c r="O526" s="248" t="str">
        <f aca="false">IF(M526&gt;=0.13,"★★★ EXCELLENT",IF(M526&gt;=0.12,"★★  GOOD",IF(M526&gt;=0.07,"★  FAIR",IF(M526&gt;=0.025,"⚠  MARGINAL","✗  AVOID"))))</f>
        <v>★  FAIR</v>
      </c>
    </row>
    <row r="527" customFormat="false" ht="15" hidden="false" customHeight="true" outlineLevel="0" collapsed="false">
      <c r="A527" s="245" t="n">
        <v>57</v>
      </c>
      <c r="B527" s="246"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46"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46"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46"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46"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46"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46"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46"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46"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46"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46"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46" t="n">
        <f aca="false">MIN(B527:L527)</f>
        <v>0.0800000000000001</v>
      </c>
      <c r="N527" s="246" t="n">
        <f aca="false">SUMPRODUCT(($M$7:$M$557&gt;M527)*1)+SUMPRODUCT(($M$7:$M$557=M527)*(ROW($M$7:$M$557)&lt;ROW(M527)))+1</f>
        <v>143</v>
      </c>
      <c r="O527" s="246" t="str">
        <f aca="false">IF(M527&gt;=0.13,"★★★ EXCELLENT",IF(M527&gt;=0.12,"★★  GOOD",IF(M527&gt;=0.07,"★  FAIR",IF(M527&gt;=0.025,"⚠  MARGINAL","✗  AVOID"))))</f>
        <v>★  FAIR</v>
      </c>
    </row>
    <row r="528" customFormat="false" ht="15" hidden="false" customHeight="true" outlineLevel="0" collapsed="false">
      <c r="A528" s="247" t="n">
        <v>57.1</v>
      </c>
      <c r="B528" s="248"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48"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48"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48"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48"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48"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48"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48"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48"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48"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48"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48" t="n">
        <f aca="false">MIN(B528:L528)</f>
        <v>0.0748771929824561</v>
      </c>
      <c r="N528" s="248" t="n">
        <f aca="false">SUMPRODUCT(($M$7:$M$557&gt;M528)*1)+SUMPRODUCT(($M$7:$M$557=M528)*(ROW($M$7:$M$557)&lt;ROW(M528)))+1</f>
        <v>157</v>
      </c>
      <c r="O528" s="248" t="str">
        <f aca="false">IF(M528&gt;=0.13,"★★★ EXCELLENT",IF(M528&gt;=0.12,"★★  GOOD",IF(M528&gt;=0.07,"★  FAIR",IF(M528&gt;=0.025,"⚠  MARGINAL","✗  AVOID"))))</f>
        <v>★  FAIR</v>
      </c>
    </row>
    <row r="529" customFormat="false" ht="15" hidden="false" customHeight="true" outlineLevel="0" collapsed="false">
      <c r="A529" s="245" t="n">
        <v>57.2</v>
      </c>
      <c r="B529" s="246"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46"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46"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46"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46"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46"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46"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46"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46"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46"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46"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46" t="n">
        <f aca="false">MIN(B529:L529)</f>
        <v>0.0697543859649121</v>
      </c>
      <c r="N529" s="246" t="n">
        <f aca="false">SUMPRODUCT(($M$7:$M$557&gt;M529)*1)+SUMPRODUCT(($M$7:$M$557=M529)*(ROW($M$7:$M$557)&lt;ROW(M529)))+1</f>
        <v>174</v>
      </c>
      <c r="O529" s="246" t="str">
        <f aca="false">IF(M529&gt;=0.13,"★★★ EXCELLENT",IF(M529&gt;=0.12,"★★  GOOD",IF(M529&gt;=0.07,"★  FAIR",IF(M529&gt;=0.025,"⚠  MARGINAL","✗  AVOID"))))</f>
        <v>⚠  MARGINAL</v>
      </c>
    </row>
    <row r="530" customFormat="false" ht="15" hidden="false" customHeight="true" outlineLevel="0" collapsed="false">
      <c r="A530" s="247" t="n">
        <v>57.3</v>
      </c>
      <c r="B530" s="248"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48"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48"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48"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48"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48"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48"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48"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48"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48"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48"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48" t="n">
        <f aca="false">MIN(B530:L530)</f>
        <v>0.0646315789473686</v>
      </c>
      <c r="N530" s="248" t="n">
        <f aca="false">SUMPRODUCT(($M$7:$M$557&gt;M530)*1)+SUMPRODUCT(($M$7:$M$557=M530)*(ROW($M$7:$M$557)&lt;ROW(M530)))+1</f>
        <v>188</v>
      </c>
      <c r="O530" s="248" t="str">
        <f aca="false">IF(M530&gt;=0.13,"★★★ EXCELLENT",IF(M530&gt;=0.12,"★★  GOOD",IF(M530&gt;=0.07,"★  FAIR",IF(M530&gt;=0.025,"⚠  MARGINAL","✗  AVOID"))))</f>
        <v>⚠  MARGINAL</v>
      </c>
    </row>
    <row r="531" customFormat="false" ht="15" hidden="false" customHeight="true" outlineLevel="0" collapsed="false">
      <c r="A531" s="245" t="n">
        <v>57.4</v>
      </c>
      <c r="B531" s="246"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46"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46"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46"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46"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46"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46"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46"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46"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46"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46"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46" t="n">
        <f aca="false">MIN(B531:L531)</f>
        <v>0.0595087719298246</v>
      </c>
      <c r="N531" s="246" t="n">
        <f aca="false">SUMPRODUCT(($M$7:$M$557&gt;M531)*1)+SUMPRODUCT(($M$7:$M$557=M531)*(ROW($M$7:$M$557)&lt;ROW(M531)))+1</f>
        <v>204</v>
      </c>
      <c r="O531" s="246" t="str">
        <f aca="false">IF(M531&gt;=0.13,"★★★ EXCELLENT",IF(M531&gt;=0.12,"★★  GOOD",IF(M531&gt;=0.07,"★  FAIR",IF(M531&gt;=0.025,"⚠  MARGINAL","✗  AVOID"))))</f>
        <v>⚠  MARGINAL</v>
      </c>
    </row>
    <row r="532" customFormat="false" ht="15" hidden="false" customHeight="true" outlineLevel="0" collapsed="false">
      <c r="A532" s="247" t="n">
        <v>57.5</v>
      </c>
      <c r="B532" s="248"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48"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48"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48"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48"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48"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48"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48"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48"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48"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48"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48" t="n">
        <f aca="false">MIN(B532:L532)</f>
        <v>0.0543859649122807</v>
      </c>
      <c r="N532" s="248" t="n">
        <f aca="false">SUMPRODUCT(($M$7:$M$557&gt;M532)*1)+SUMPRODUCT(($M$7:$M$557=M532)*(ROW($M$7:$M$557)&lt;ROW(M532)))+1</f>
        <v>220</v>
      </c>
      <c r="O532" s="248" t="str">
        <f aca="false">IF(M532&gt;=0.13,"★★★ EXCELLENT",IF(M532&gt;=0.12,"★★  GOOD",IF(M532&gt;=0.07,"★  FAIR",IF(M532&gt;=0.025,"⚠  MARGINAL","✗  AVOID"))))</f>
        <v>⚠  MARGINAL</v>
      </c>
    </row>
    <row r="533" customFormat="false" ht="15" hidden="false" customHeight="true" outlineLevel="0" collapsed="false">
      <c r="A533" s="245" t="n">
        <v>57.6</v>
      </c>
      <c r="B533" s="246"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46"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46"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46"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46"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46"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46"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46"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46"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46"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46"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46" t="n">
        <f aca="false">MIN(B533:L533)</f>
        <v>0.0492631578947367</v>
      </c>
      <c r="N533" s="246" t="n">
        <f aca="false">SUMPRODUCT(($M$7:$M$557&gt;M533)*1)+SUMPRODUCT(($M$7:$M$557=M533)*(ROW($M$7:$M$557)&lt;ROW(M533)))+1</f>
        <v>235</v>
      </c>
      <c r="O533" s="246" t="str">
        <f aca="false">IF(M533&gt;=0.13,"★★★ EXCELLENT",IF(M533&gt;=0.12,"★★  GOOD",IF(M533&gt;=0.07,"★  FAIR",IF(M533&gt;=0.025,"⚠  MARGINAL","✗  AVOID"))))</f>
        <v>⚠  MARGINAL</v>
      </c>
    </row>
    <row r="534" customFormat="false" ht="15" hidden="false" customHeight="true" outlineLevel="0" collapsed="false">
      <c r="A534" s="247" t="n">
        <v>57.7</v>
      </c>
      <c r="B534" s="248"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48"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48"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48"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48"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48"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48"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48"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48"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48"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48"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48" t="n">
        <f aca="false">MIN(B534:L534)</f>
        <v>0.0441403508771927</v>
      </c>
      <c r="N534" s="248" t="n">
        <f aca="false">SUMPRODUCT(($M$7:$M$557&gt;M534)*1)+SUMPRODUCT(($M$7:$M$557=M534)*(ROW($M$7:$M$557)&lt;ROW(M534)))+1</f>
        <v>250</v>
      </c>
      <c r="O534" s="248" t="str">
        <f aca="false">IF(M534&gt;=0.13,"★★★ EXCELLENT",IF(M534&gt;=0.12,"★★  GOOD",IF(M534&gt;=0.07,"★  FAIR",IF(M534&gt;=0.025,"⚠  MARGINAL","✗  AVOID"))))</f>
        <v>⚠  MARGINAL</v>
      </c>
    </row>
    <row r="535" customFormat="false" ht="15" hidden="false" customHeight="true" outlineLevel="0" collapsed="false">
      <c r="A535" s="245" t="n">
        <v>57.8</v>
      </c>
      <c r="B535" s="246"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46"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46"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46"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46"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46"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46"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46"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46"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46"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46"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46" t="n">
        <f aca="false">MIN(B535:L535)</f>
        <v>0.0390175438596496</v>
      </c>
      <c r="N535" s="246" t="n">
        <f aca="false">SUMPRODUCT(($M$7:$M$557&gt;M535)*1)+SUMPRODUCT(($M$7:$M$557=M535)*(ROW($M$7:$M$557)&lt;ROW(M535)))+1</f>
        <v>265</v>
      </c>
      <c r="O535" s="246" t="str">
        <f aca="false">IF(M535&gt;=0.13,"★★★ EXCELLENT",IF(M535&gt;=0.12,"★★  GOOD",IF(M535&gt;=0.07,"★  FAIR",IF(M535&gt;=0.025,"⚠  MARGINAL","✗  AVOID"))))</f>
        <v>⚠  MARGINAL</v>
      </c>
    </row>
    <row r="536" customFormat="false" ht="15" hidden="false" customHeight="true" outlineLevel="0" collapsed="false">
      <c r="A536" s="247" t="n">
        <v>57.9</v>
      </c>
      <c r="B536" s="248"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48"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48"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48"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48"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48"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48"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48"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48"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48"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48"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48" t="n">
        <f aca="false">MIN(B536:L536)</f>
        <v>0.0338947368421056</v>
      </c>
      <c r="N536" s="248" t="n">
        <f aca="false">SUMPRODUCT(($M$7:$M$557&gt;M536)*1)+SUMPRODUCT(($M$7:$M$557=M536)*(ROW($M$7:$M$557)&lt;ROW(M536)))+1</f>
        <v>280</v>
      </c>
      <c r="O536" s="248" t="str">
        <f aca="false">IF(M536&gt;=0.13,"★★★ EXCELLENT",IF(M536&gt;=0.12,"★★  GOOD",IF(M536&gt;=0.07,"★  FAIR",IF(M536&gt;=0.025,"⚠  MARGINAL","✗  AVOID"))))</f>
        <v>⚠  MARGINAL</v>
      </c>
    </row>
    <row r="537" customFormat="false" ht="15" hidden="false" customHeight="true" outlineLevel="0" collapsed="false">
      <c r="A537" s="245" t="n">
        <v>58</v>
      </c>
      <c r="B537" s="246"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46"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46"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46"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46"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46"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46"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46"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46"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46"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46"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46" t="n">
        <f aca="false">MIN(B537:L537)</f>
        <v>0.0287719298245617</v>
      </c>
      <c r="N537" s="246" t="n">
        <f aca="false">SUMPRODUCT(($M$7:$M$557&gt;M537)*1)+SUMPRODUCT(($M$7:$M$557=M537)*(ROW($M$7:$M$557)&lt;ROW(M537)))+1</f>
        <v>297</v>
      </c>
      <c r="O537" s="246" t="str">
        <f aca="false">IF(M537&gt;=0.13,"★★★ EXCELLENT",IF(M537&gt;=0.12,"★★  GOOD",IF(M537&gt;=0.07,"★  FAIR",IF(M537&gt;=0.025,"⚠  MARGINAL","✗  AVOID"))))</f>
        <v>⚠  MARGINAL</v>
      </c>
    </row>
    <row r="538" customFormat="false" ht="15" hidden="false" customHeight="true" outlineLevel="0" collapsed="false">
      <c r="A538" s="247" t="n">
        <v>58.1</v>
      </c>
      <c r="B538" s="248"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48"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48"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48"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48"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48"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48"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48"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48"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48"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48"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48" t="n">
        <f aca="false">MIN(B538:L538)</f>
        <v>0.0236491228070177</v>
      </c>
      <c r="N538" s="248" t="n">
        <f aca="false">SUMPRODUCT(($M$7:$M$557&gt;M538)*1)+SUMPRODUCT(($M$7:$M$557=M538)*(ROW($M$7:$M$557)&lt;ROW(M538)))+1</f>
        <v>311</v>
      </c>
      <c r="O538" s="248" t="str">
        <f aca="false">IF(M538&gt;=0.13,"★★★ EXCELLENT",IF(M538&gt;=0.12,"★★  GOOD",IF(M538&gt;=0.07,"★  FAIR",IF(M538&gt;=0.025,"⚠  MARGINAL","✗  AVOID"))))</f>
        <v>✗  AVOID</v>
      </c>
    </row>
    <row r="539" customFormat="false" ht="15" hidden="false" customHeight="true" outlineLevel="0" collapsed="false">
      <c r="A539" s="245" t="n">
        <v>58.2</v>
      </c>
      <c r="B539" s="246"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46"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46"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46"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46"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46"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46"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46"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46"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46"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46"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46" t="n">
        <f aca="false">MIN(B539:L539)</f>
        <v>0.0185263157894737</v>
      </c>
      <c r="N539" s="246" t="n">
        <f aca="false">SUMPRODUCT(($M$7:$M$557&gt;M539)*1)+SUMPRODUCT(($M$7:$M$557=M539)*(ROW($M$7:$M$557)&lt;ROW(M539)))+1</f>
        <v>328</v>
      </c>
      <c r="O539" s="246" t="str">
        <f aca="false">IF(M539&gt;=0.13,"★★★ EXCELLENT",IF(M539&gt;=0.12,"★★  GOOD",IF(M539&gt;=0.07,"★  FAIR",IF(M539&gt;=0.025,"⚠  MARGINAL","✗  AVOID"))))</f>
        <v>✗  AVOID</v>
      </c>
    </row>
    <row r="540" customFormat="false" ht="15" hidden="false" customHeight="true" outlineLevel="0" collapsed="false">
      <c r="A540" s="247" t="n">
        <v>58.3</v>
      </c>
      <c r="B540" s="248"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48"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48"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48"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48"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48"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48"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48"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48"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48"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48"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48" t="n">
        <f aca="false">MIN(B540:L540)</f>
        <v>0.0134035087719302</v>
      </c>
      <c r="N540" s="248" t="n">
        <f aca="false">SUMPRODUCT(($M$7:$M$557&gt;M540)*1)+SUMPRODUCT(($M$7:$M$557=M540)*(ROW($M$7:$M$557)&lt;ROW(M540)))+1</f>
        <v>341</v>
      </c>
      <c r="O540" s="248" t="str">
        <f aca="false">IF(M540&gt;=0.13,"★★★ EXCELLENT",IF(M540&gt;=0.12,"★★  GOOD",IF(M540&gt;=0.07,"★  FAIR",IF(M540&gt;=0.025,"⚠  MARGINAL","✗  AVOID"))))</f>
        <v>✗  AVOID</v>
      </c>
    </row>
    <row r="541" customFormat="false" ht="15" hidden="false" customHeight="true" outlineLevel="0" collapsed="false">
      <c r="A541" s="245" t="n">
        <v>58.4</v>
      </c>
      <c r="B541" s="246"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46"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46"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46"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46"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46"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46"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46"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46"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46"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46"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46" t="n">
        <f aca="false">MIN(B541:L541)</f>
        <v>0.00828070175438622</v>
      </c>
      <c r="N541" s="246" t="n">
        <f aca="false">SUMPRODUCT(($M$7:$M$557&gt;M541)*1)+SUMPRODUCT(($M$7:$M$557=M541)*(ROW($M$7:$M$557)&lt;ROW(M541)))+1</f>
        <v>358</v>
      </c>
      <c r="O541" s="246" t="str">
        <f aca="false">IF(M541&gt;=0.13,"★★★ EXCELLENT",IF(M541&gt;=0.12,"★★  GOOD",IF(M541&gt;=0.07,"★  FAIR",IF(M541&gt;=0.025,"⚠  MARGINAL","✗  AVOID"))))</f>
        <v>✗  AVOID</v>
      </c>
    </row>
    <row r="542" customFormat="false" ht="15" hidden="false" customHeight="true" outlineLevel="0" collapsed="false">
      <c r="A542" s="247" t="n">
        <v>58.5</v>
      </c>
      <c r="B542" s="248"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48"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48"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48"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48"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48"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48"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48"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48"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48"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48"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48" t="n">
        <f aca="false">MIN(B542:L542)</f>
        <v>0.0031578947368418</v>
      </c>
      <c r="N542" s="248" t="n">
        <f aca="false">SUMPRODUCT(($M$7:$M$557&gt;M542)*1)+SUMPRODUCT(($M$7:$M$557=M542)*(ROW($M$7:$M$557)&lt;ROW(M542)))+1</f>
        <v>373</v>
      </c>
      <c r="O542" s="248" t="str">
        <f aca="false">IF(M542&gt;=0.13,"★★★ EXCELLENT",IF(M542&gt;=0.12,"★★  GOOD",IF(M542&gt;=0.07,"★  FAIR",IF(M542&gt;=0.025,"⚠  MARGINAL","✗  AVOID"))))</f>
        <v>✗  AVOID</v>
      </c>
    </row>
    <row r="543" customFormat="false" ht="15" hidden="false" customHeight="true" outlineLevel="0" collapsed="false">
      <c r="A543" s="245" t="n">
        <v>58.6</v>
      </c>
      <c r="B543" s="246"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46"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46"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46"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46"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46"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46"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46"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46"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46"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46"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46" t="n">
        <f aca="false">MIN(B543:L543)</f>
        <v>0</v>
      </c>
      <c r="N543" s="246" t="n">
        <f aca="false">SUMPRODUCT(($M$7:$M$557&gt;M543)*1)+SUMPRODUCT(($M$7:$M$557=M543)*(ROW($M$7:$M$557)&lt;ROW(M543)))+1</f>
        <v>537</v>
      </c>
      <c r="O543" s="246" t="str">
        <f aca="false">IF(M543&gt;=0.13,"★★★ EXCELLENT",IF(M543&gt;=0.12,"★★  GOOD",IF(M543&gt;=0.07,"★  FAIR",IF(M543&gt;=0.025,"⚠  MARGINAL","✗  AVOID"))))</f>
        <v>✗  AVOID</v>
      </c>
    </row>
    <row r="544" customFormat="false" ht="15" hidden="false" customHeight="true" outlineLevel="0" collapsed="false">
      <c r="A544" s="247" t="n">
        <v>58.7</v>
      </c>
      <c r="B544" s="248"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48"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48"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48"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48"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48"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48"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48"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48"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48"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48"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48" t="n">
        <f aca="false">MIN(B544:L544)</f>
        <v>0</v>
      </c>
      <c r="N544" s="248" t="n">
        <f aca="false">SUMPRODUCT(($M$7:$M$557&gt;M544)*1)+SUMPRODUCT(($M$7:$M$557=M544)*(ROW($M$7:$M$557)&lt;ROW(M544)))+1</f>
        <v>538</v>
      </c>
      <c r="O544" s="248" t="str">
        <f aca="false">IF(M544&gt;=0.13,"★★★ EXCELLENT",IF(M544&gt;=0.12,"★★  GOOD",IF(M544&gt;=0.07,"★  FAIR",IF(M544&gt;=0.025,"⚠  MARGINAL","✗  AVOID"))))</f>
        <v>✗  AVOID</v>
      </c>
    </row>
    <row r="545" customFormat="false" ht="15" hidden="false" customHeight="true" outlineLevel="0" collapsed="false">
      <c r="A545" s="245" t="n">
        <v>58.8</v>
      </c>
      <c r="B545" s="246"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46"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46"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46"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46"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46"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46"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46"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46"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46"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46"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46" t="n">
        <f aca="false">MIN(B545:L545)</f>
        <v>0</v>
      </c>
      <c r="N545" s="246" t="n">
        <f aca="false">SUMPRODUCT(($M$7:$M$557&gt;M545)*1)+SUMPRODUCT(($M$7:$M$557=M545)*(ROW($M$7:$M$557)&lt;ROW(M545)))+1</f>
        <v>539</v>
      </c>
      <c r="O545" s="246" t="str">
        <f aca="false">IF(M545&gt;=0.13,"★★★ EXCELLENT",IF(M545&gt;=0.12,"★★  GOOD",IF(M545&gt;=0.07,"★  FAIR",IF(M545&gt;=0.025,"⚠  MARGINAL","✗  AVOID"))))</f>
        <v>✗  AVOID</v>
      </c>
    </row>
    <row r="546" customFormat="false" ht="15" hidden="false" customHeight="true" outlineLevel="0" collapsed="false">
      <c r="A546" s="247" t="n">
        <v>58.9</v>
      </c>
      <c r="B546" s="248"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48"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48"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48"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48"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48"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48"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48"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48"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48"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48"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48" t="n">
        <f aca="false">MIN(B546:L546)</f>
        <v>0</v>
      </c>
      <c r="N546" s="248" t="n">
        <f aca="false">SUMPRODUCT(($M$7:$M$557&gt;M546)*1)+SUMPRODUCT(($M$7:$M$557=M546)*(ROW($M$7:$M$557)&lt;ROW(M546)))+1</f>
        <v>540</v>
      </c>
      <c r="O546" s="248" t="str">
        <f aca="false">IF(M546&gt;=0.13,"★★★ EXCELLENT",IF(M546&gt;=0.12,"★★  GOOD",IF(M546&gt;=0.07,"★  FAIR",IF(M546&gt;=0.025,"⚠  MARGINAL","✗  AVOID"))))</f>
        <v>✗  AVOID</v>
      </c>
    </row>
    <row r="547" customFormat="false" ht="15" hidden="false" customHeight="true" outlineLevel="0" collapsed="false">
      <c r="A547" s="245" t="n">
        <v>59</v>
      </c>
      <c r="B547" s="246"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46"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46"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46"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46"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46"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46"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46"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46"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46"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46"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46" t="n">
        <f aca="false">MIN(B547:L547)</f>
        <v>0</v>
      </c>
      <c r="N547" s="246" t="n">
        <f aca="false">SUMPRODUCT(($M$7:$M$557&gt;M547)*1)+SUMPRODUCT(($M$7:$M$557=M547)*(ROW($M$7:$M$557)&lt;ROW(M547)))+1</f>
        <v>541</v>
      </c>
      <c r="O547" s="246" t="str">
        <f aca="false">IF(M547&gt;=0.13,"★★★ EXCELLENT",IF(M547&gt;=0.12,"★★  GOOD",IF(M547&gt;=0.07,"★  FAIR",IF(M547&gt;=0.025,"⚠  MARGINAL","✗  AVOID"))))</f>
        <v>✗  AVOID</v>
      </c>
    </row>
    <row r="548" customFormat="false" ht="15" hidden="false" customHeight="true" outlineLevel="0" collapsed="false">
      <c r="A548" s="247" t="n">
        <v>59.1</v>
      </c>
      <c r="B548" s="248"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48"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48"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48"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48"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48"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48"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48"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48"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48"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48"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48" t="n">
        <f aca="false">MIN(B548:L548)</f>
        <v>0</v>
      </c>
      <c r="N548" s="248" t="n">
        <f aca="false">SUMPRODUCT(($M$7:$M$557&gt;M548)*1)+SUMPRODUCT(($M$7:$M$557=M548)*(ROW($M$7:$M$557)&lt;ROW(M548)))+1</f>
        <v>542</v>
      </c>
      <c r="O548" s="248" t="str">
        <f aca="false">IF(M548&gt;=0.13,"★★★ EXCELLENT",IF(M548&gt;=0.12,"★★  GOOD",IF(M548&gt;=0.07,"★  FAIR",IF(M548&gt;=0.025,"⚠  MARGINAL","✗  AVOID"))))</f>
        <v>✗  AVOID</v>
      </c>
    </row>
    <row r="549" customFormat="false" ht="15" hidden="false" customHeight="true" outlineLevel="0" collapsed="false">
      <c r="A549" s="245" t="n">
        <v>59.2</v>
      </c>
      <c r="B549" s="246"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46"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46"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46"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46"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46"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46"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46"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46"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46"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46"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46" t="n">
        <f aca="false">MIN(B549:L549)</f>
        <v>0</v>
      </c>
      <c r="N549" s="246" t="n">
        <f aca="false">SUMPRODUCT(($M$7:$M$557&gt;M549)*1)+SUMPRODUCT(($M$7:$M$557=M549)*(ROW($M$7:$M$557)&lt;ROW(M549)))+1</f>
        <v>543</v>
      </c>
      <c r="O549" s="246" t="str">
        <f aca="false">IF(M549&gt;=0.13,"★★★ EXCELLENT",IF(M549&gt;=0.12,"★★  GOOD",IF(M549&gt;=0.07,"★  FAIR",IF(M549&gt;=0.025,"⚠  MARGINAL","✗  AVOID"))))</f>
        <v>✗  AVOID</v>
      </c>
    </row>
    <row r="550" customFormat="false" ht="15" hidden="false" customHeight="true" outlineLevel="0" collapsed="false">
      <c r="A550" s="247" t="n">
        <v>59.3</v>
      </c>
      <c r="B550" s="248"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48"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48"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48"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48"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48"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48"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48"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48"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48"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48"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48" t="n">
        <f aca="false">MIN(B550:L550)</f>
        <v>0</v>
      </c>
      <c r="N550" s="248" t="n">
        <f aca="false">SUMPRODUCT(($M$7:$M$557&gt;M550)*1)+SUMPRODUCT(($M$7:$M$557=M550)*(ROW($M$7:$M$557)&lt;ROW(M550)))+1</f>
        <v>544</v>
      </c>
      <c r="O550" s="248" t="str">
        <f aca="false">IF(M550&gt;=0.13,"★★★ EXCELLENT",IF(M550&gt;=0.12,"★★  GOOD",IF(M550&gt;=0.07,"★  FAIR",IF(M550&gt;=0.025,"⚠  MARGINAL","✗  AVOID"))))</f>
        <v>✗  AVOID</v>
      </c>
    </row>
    <row r="551" customFormat="false" ht="15" hidden="false" customHeight="true" outlineLevel="0" collapsed="false">
      <c r="A551" s="245" t="n">
        <v>59.4</v>
      </c>
      <c r="B551" s="246"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46"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46"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46"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46"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46"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46"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46"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46"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46"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46"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46" t="n">
        <f aca="false">MIN(B551:L551)</f>
        <v>0</v>
      </c>
      <c r="N551" s="246" t="n">
        <f aca="false">SUMPRODUCT(($M$7:$M$557&gt;M551)*1)+SUMPRODUCT(($M$7:$M$557=M551)*(ROW($M$7:$M$557)&lt;ROW(M551)))+1</f>
        <v>545</v>
      </c>
      <c r="O551" s="246" t="str">
        <f aca="false">IF(M551&gt;=0.13,"★★★ EXCELLENT",IF(M551&gt;=0.12,"★★  GOOD",IF(M551&gt;=0.07,"★  FAIR",IF(M551&gt;=0.025,"⚠  MARGINAL","✗  AVOID"))))</f>
        <v>✗  AVOID</v>
      </c>
    </row>
    <row r="552" customFormat="false" ht="15" hidden="false" customHeight="true" outlineLevel="0" collapsed="false">
      <c r="A552" s="247" t="n">
        <v>59.5</v>
      </c>
      <c r="B552" s="248"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48"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48"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48"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48"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48"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48"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48"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48"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48"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48"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48" t="n">
        <f aca="false">MIN(B552:L552)</f>
        <v>0</v>
      </c>
      <c r="N552" s="248" t="n">
        <f aca="false">SUMPRODUCT(($M$7:$M$557&gt;M552)*1)+SUMPRODUCT(($M$7:$M$557=M552)*(ROW($M$7:$M$557)&lt;ROW(M552)))+1</f>
        <v>546</v>
      </c>
      <c r="O552" s="248" t="str">
        <f aca="false">IF(M552&gt;=0.13,"★★★ EXCELLENT",IF(M552&gt;=0.12,"★★  GOOD",IF(M552&gt;=0.07,"★  FAIR",IF(M552&gt;=0.025,"⚠  MARGINAL","✗  AVOID"))))</f>
        <v>✗  AVOID</v>
      </c>
    </row>
    <row r="553" customFormat="false" ht="15" hidden="false" customHeight="true" outlineLevel="0" collapsed="false">
      <c r="A553" s="245" t="n">
        <v>59.6</v>
      </c>
      <c r="B553" s="246"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46"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46"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46"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46"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46"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46"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46"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46"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46"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46"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46" t="n">
        <f aca="false">MIN(B553:L553)</f>
        <v>0</v>
      </c>
      <c r="N553" s="246" t="n">
        <f aca="false">SUMPRODUCT(($M$7:$M$557&gt;M553)*1)+SUMPRODUCT(($M$7:$M$557=M553)*(ROW($M$7:$M$557)&lt;ROW(M553)))+1</f>
        <v>547</v>
      </c>
      <c r="O553" s="246" t="str">
        <f aca="false">IF(M553&gt;=0.13,"★★★ EXCELLENT",IF(M553&gt;=0.12,"★★  GOOD",IF(M553&gt;=0.07,"★  FAIR",IF(M553&gt;=0.025,"⚠  MARGINAL","✗  AVOID"))))</f>
        <v>✗  AVOID</v>
      </c>
    </row>
    <row r="554" customFormat="false" ht="15" hidden="false" customHeight="true" outlineLevel="0" collapsed="false">
      <c r="A554" s="247" t="n">
        <v>59.7</v>
      </c>
      <c r="B554" s="248"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48"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48"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48"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48"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48"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48"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48"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48"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48"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48"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48" t="n">
        <f aca="false">MIN(B554:L554)</f>
        <v>0</v>
      </c>
      <c r="N554" s="248" t="n">
        <f aca="false">SUMPRODUCT(($M$7:$M$557&gt;M554)*1)+SUMPRODUCT(($M$7:$M$557=M554)*(ROW($M$7:$M$557)&lt;ROW(M554)))+1</f>
        <v>548</v>
      </c>
      <c r="O554" s="248" t="str">
        <f aca="false">IF(M554&gt;=0.13,"★★★ EXCELLENT",IF(M554&gt;=0.12,"★★  GOOD",IF(M554&gt;=0.07,"★  FAIR",IF(M554&gt;=0.025,"⚠  MARGINAL","✗  AVOID"))))</f>
        <v>✗  AVOID</v>
      </c>
    </row>
    <row r="555" customFormat="false" ht="15" hidden="false" customHeight="true" outlineLevel="0" collapsed="false">
      <c r="A555" s="245" t="n">
        <v>59.8</v>
      </c>
      <c r="B555" s="246"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46"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46"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46"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46"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46"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46"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46"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46"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46"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46"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46" t="n">
        <f aca="false">MIN(B555:L555)</f>
        <v>0</v>
      </c>
      <c r="N555" s="246" t="n">
        <f aca="false">SUMPRODUCT(($M$7:$M$557&gt;M555)*1)+SUMPRODUCT(($M$7:$M$557=M555)*(ROW($M$7:$M$557)&lt;ROW(M555)))+1</f>
        <v>549</v>
      </c>
      <c r="O555" s="246" t="str">
        <f aca="false">IF(M555&gt;=0.13,"★★★ EXCELLENT",IF(M555&gt;=0.12,"★★  GOOD",IF(M555&gt;=0.07,"★  FAIR",IF(M555&gt;=0.025,"⚠  MARGINAL","✗  AVOID"))))</f>
        <v>✗  AVOID</v>
      </c>
    </row>
    <row r="556" customFormat="false" ht="15" hidden="false" customHeight="true" outlineLevel="0" collapsed="false">
      <c r="A556" s="247" t="n">
        <v>59.9</v>
      </c>
      <c r="B556" s="248"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48"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48"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48"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48"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48"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48"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48"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48"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48"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48"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48" t="n">
        <f aca="false">MIN(B556:L556)</f>
        <v>0</v>
      </c>
      <c r="N556" s="248" t="n">
        <f aca="false">SUMPRODUCT(($M$7:$M$557&gt;M556)*1)+SUMPRODUCT(($M$7:$M$557=M556)*(ROW($M$7:$M$557)&lt;ROW(M556)))+1</f>
        <v>550</v>
      </c>
      <c r="O556" s="248" t="str">
        <f aca="false">IF(M556&gt;=0.13,"★★★ EXCELLENT",IF(M556&gt;=0.12,"★★  GOOD",IF(M556&gt;=0.07,"★  FAIR",IF(M556&gt;=0.025,"⚠  MARGINAL","✗  AVOID"))))</f>
        <v>✗  AVOID</v>
      </c>
    </row>
    <row r="557" customFormat="false" ht="15" hidden="false" customHeight="true" outlineLevel="0" collapsed="false">
      <c r="A557" s="245" t="n">
        <v>60</v>
      </c>
      <c r="B557" s="246"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46"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46"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46"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46"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46"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46"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46"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46"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46"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46"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46" t="n">
        <f aca="false">MIN(B557:L557)</f>
        <v>0</v>
      </c>
      <c r="N557" s="246" t="n">
        <f aca="false">SUMPRODUCT(($M$7:$M$557&gt;M557)*1)+SUMPRODUCT(($M$7:$M$557=M557)*(ROW($M$7:$M$557)&lt;ROW(M557)))+1</f>
        <v>551</v>
      </c>
      <c r="O557" s="246"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1" sqref="A30:D45 N110"/>
    </sheetView>
  </sheetViews>
  <sheetFormatPr defaultColWidth="13.21875" defaultRowHeight="15" customHeight="false" zeroHeight="false" outlineLevelRow="0" outlineLevelCol="0"/>
  <cols>
    <col collapsed="false" customWidth="false" hidden="false" outlineLevel="0" max="16384" min="1" style="249" width="13.22"/>
  </cols>
  <sheetData>
    <row r="1" customFormat="false" ht="15" hidden="false" customHeight="true" outlineLevel="0" collapsed="false">
      <c r="A1" s="250" t="s">
        <v>471</v>
      </c>
      <c r="B1" s="250"/>
      <c r="C1" s="250"/>
      <c r="D1" s="250"/>
      <c r="E1" s="250"/>
      <c r="F1" s="250"/>
      <c r="G1" s="250"/>
      <c r="H1" s="250"/>
      <c r="I1" s="250"/>
      <c r="J1" s="250"/>
      <c r="K1" s="250"/>
      <c r="L1" s="250"/>
      <c r="M1" s="250"/>
      <c r="N1" s="250"/>
      <c r="O1" s="250"/>
      <c r="P1" s="250"/>
      <c r="Q1" s="250"/>
      <c r="R1" s="250"/>
      <c r="S1" s="250"/>
      <c r="T1" s="250"/>
      <c r="U1" s="250"/>
      <c r="V1" s="250"/>
      <c r="W1" s="250"/>
      <c r="X1" s="250"/>
      <c r="Y1" s="250"/>
      <c r="Z1" s="250"/>
      <c r="AA1" s="250"/>
      <c r="AB1" s="250"/>
      <c r="AC1" s="250"/>
      <c r="AD1" s="250"/>
      <c r="AE1" s="250"/>
      <c r="AF1" s="250"/>
      <c r="AG1" s="250"/>
      <c r="AH1" s="250"/>
      <c r="AI1" s="250"/>
      <c r="AJ1" s="250"/>
      <c r="AK1" s="250"/>
      <c r="AL1" s="250"/>
      <c r="AM1" s="250"/>
      <c r="AN1" s="250"/>
      <c r="AO1" s="250"/>
      <c r="AP1" s="250"/>
      <c r="AQ1" s="250"/>
      <c r="AR1" s="250"/>
      <c r="AS1" s="250"/>
      <c r="AT1" s="250"/>
      <c r="AU1" s="250"/>
      <c r="AV1" s="250"/>
      <c r="AW1" s="250"/>
      <c r="AX1" s="250"/>
      <c r="AY1" s="250"/>
      <c r="AZ1" s="250"/>
      <c r="BA1" s="250"/>
      <c r="BB1" s="250"/>
      <c r="BC1" s="250"/>
      <c r="BD1" s="250"/>
      <c r="BE1" s="250"/>
      <c r="BF1" s="250"/>
      <c r="BG1" s="250"/>
      <c r="BH1" s="250"/>
      <c r="BI1" s="250"/>
      <c r="BJ1" s="250"/>
      <c r="BK1" s="250"/>
    </row>
    <row r="2" customFormat="false" ht="15" hidden="false" customHeight="true" outlineLevel="0" collapsed="false">
      <c r="A2" s="251" t="s">
        <v>1</v>
      </c>
      <c r="B2" s="251"/>
      <c r="C2" s="251"/>
      <c r="D2" s="251"/>
      <c r="E2" s="251"/>
      <c r="F2" s="251"/>
      <c r="G2" s="251"/>
      <c r="H2" s="251"/>
      <c r="I2" s="252"/>
      <c r="J2" s="252"/>
      <c r="K2" s="252"/>
      <c r="L2" s="252"/>
      <c r="M2" s="252"/>
      <c r="N2" s="252"/>
      <c r="O2" s="252"/>
      <c r="P2" s="252"/>
      <c r="Q2" s="252"/>
      <c r="R2" s="252"/>
      <c r="S2" s="252"/>
      <c r="T2" s="252"/>
      <c r="U2" s="252"/>
      <c r="V2" s="252"/>
      <c r="W2" s="252"/>
      <c r="X2" s="252"/>
      <c r="Y2" s="252"/>
      <c r="Z2" s="252"/>
      <c r="AA2" s="252"/>
      <c r="AB2" s="252"/>
      <c r="AC2" s="252"/>
      <c r="AD2" s="252"/>
      <c r="AE2" s="252"/>
      <c r="AF2" s="252"/>
      <c r="AG2" s="252"/>
      <c r="AH2" s="252"/>
      <c r="AI2" s="252"/>
      <c r="AJ2" s="252"/>
      <c r="AK2" s="252"/>
      <c r="AL2" s="252"/>
      <c r="AM2" s="252"/>
      <c r="AN2" s="252"/>
      <c r="AO2" s="252"/>
      <c r="AP2" s="252"/>
      <c r="AQ2" s="252"/>
      <c r="AR2" s="252"/>
      <c r="AS2" s="252"/>
      <c r="AT2" s="252"/>
      <c r="AU2" s="252"/>
      <c r="AV2" s="252"/>
      <c r="AW2" s="252"/>
      <c r="AX2" s="252"/>
      <c r="AY2" s="252"/>
      <c r="AZ2" s="252"/>
      <c r="BA2" s="252"/>
      <c r="BB2" s="252"/>
      <c r="BC2" s="252"/>
      <c r="BD2" s="252"/>
      <c r="BE2" s="252"/>
      <c r="BF2" s="252"/>
      <c r="BG2" s="252"/>
      <c r="BH2" s="252"/>
      <c r="BI2" s="252"/>
      <c r="BJ2" s="252"/>
      <c r="BK2" s="252"/>
    </row>
    <row r="3" customFormat="false" ht="15" hidden="false" customHeight="true" outlineLevel="0" collapsed="false">
      <c r="A3" s="252"/>
      <c r="B3" s="252"/>
      <c r="C3" s="252"/>
      <c r="D3" s="252"/>
      <c r="E3" s="252"/>
      <c r="F3" s="252"/>
      <c r="G3" s="252"/>
      <c r="H3" s="252"/>
      <c r="I3" s="252"/>
      <c r="J3" s="252"/>
      <c r="K3" s="252"/>
      <c r="L3" s="252"/>
      <c r="M3" s="252"/>
      <c r="N3" s="252"/>
      <c r="O3" s="252"/>
      <c r="P3" s="252"/>
      <c r="Q3" s="252"/>
      <c r="R3" s="252"/>
      <c r="S3" s="252"/>
      <c r="T3" s="252"/>
      <c r="U3" s="252"/>
      <c r="V3" s="252"/>
      <c r="W3" s="252"/>
      <c r="X3" s="252"/>
      <c r="Y3" s="252"/>
      <c r="Z3" s="252"/>
      <c r="AA3" s="252"/>
      <c r="AB3" s="252"/>
      <c r="AC3" s="252"/>
      <c r="AD3" s="252"/>
      <c r="AE3" s="252"/>
      <c r="AF3" s="252"/>
      <c r="AG3" s="252"/>
      <c r="AH3" s="252"/>
      <c r="AI3" s="252"/>
      <c r="AJ3" s="252"/>
      <c r="AK3" s="252"/>
      <c r="AL3" s="252"/>
      <c r="AM3" s="252"/>
      <c r="AN3" s="252"/>
      <c r="AO3" s="252"/>
      <c r="AP3" s="252"/>
      <c r="AQ3" s="252"/>
      <c r="AR3" s="252"/>
      <c r="AS3" s="252"/>
      <c r="AT3" s="252"/>
      <c r="AU3" s="252"/>
      <c r="AV3" s="252"/>
      <c r="AW3" s="252"/>
      <c r="AX3" s="252"/>
      <c r="AY3" s="252"/>
      <c r="AZ3" s="252"/>
      <c r="BA3" s="252"/>
      <c r="BB3" s="252"/>
      <c r="BC3" s="252"/>
      <c r="BD3" s="252"/>
      <c r="BE3" s="252"/>
      <c r="BF3" s="252"/>
      <c r="BG3" s="252"/>
      <c r="BH3" s="252"/>
      <c r="BI3" s="252"/>
      <c r="BJ3" s="252"/>
      <c r="BK3" s="252"/>
    </row>
    <row r="4" customFormat="false" ht="44.25" hidden="false" customHeight="true" outlineLevel="0" collapsed="false">
      <c r="A4" s="253" t="s">
        <v>472</v>
      </c>
      <c r="B4" s="254"/>
      <c r="C4" s="254"/>
      <c r="D4" s="254"/>
      <c r="E4" s="254"/>
      <c r="F4" s="254"/>
      <c r="G4" s="254"/>
      <c r="H4" s="254"/>
      <c r="I4" s="254"/>
      <c r="J4" s="254"/>
      <c r="K4" s="254"/>
      <c r="L4" s="254"/>
      <c r="M4" s="254"/>
      <c r="N4" s="254"/>
      <c r="O4" s="254"/>
      <c r="P4" s="254"/>
      <c r="Q4" s="254"/>
      <c r="R4" s="254"/>
      <c r="S4" s="254"/>
      <c r="T4" s="254"/>
      <c r="U4" s="254"/>
      <c r="V4" s="254"/>
      <c r="W4" s="254"/>
      <c r="X4" s="254"/>
      <c r="Y4" s="254"/>
      <c r="Z4" s="254"/>
      <c r="AA4" s="254"/>
      <c r="AB4" s="254"/>
      <c r="AC4" s="254"/>
      <c r="AD4" s="254"/>
      <c r="AE4" s="254"/>
      <c r="AF4" s="254"/>
      <c r="AG4" s="254"/>
      <c r="AH4" s="254"/>
      <c r="AI4" s="254"/>
      <c r="AJ4" s="254"/>
      <c r="AK4" s="254"/>
      <c r="AL4" s="254"/>
    </row>
    <row r="5" customFormat="false" ht="15" hidden="false" customHeight="true" outlineLevel="0" collapsed="false">
      <c r="A5" s="254"/>
      <c r="B5" s="254"/>
      <c r="C5" s="254"/>
      <c r="D5" s="254"/>
      <c r="E5" s="254"/>
      <c r="F5" s="254"/>
      <c r="G5" s="254"/>
      <c r="H5" s="254"/>
      <c r="I5" s="254"/>
      <c r="J5" s="254"/>
      <c r="K5" s="254"/>
      <c r="L5" s="254"/>
      <c r="M5" s="254"/>
      <c r="N5" s="254"/>
      <c r="O5" s="254"/>
      <c r="P5" s="254"/>
      <c r="Q5" s="254"/>
      <c r="R5" s="254"/>
      <c r="S5" s="254"/>
      <c r="T5" s="254"/>
      <c r="U5" s="254"/>
      <c r="V5" s="254"/>
      <c r="W5" s="254"/>
      <c r="X5" s="254"/>
      <c r="Y5" s="254"/>
      <c r="Z5" s="254"/>
      <c r="AA5" s="254"/>
      <c r="AB5" s="254"/>
      <c r="AC5" s="254"/>
      <c r="AD5" s="254"/>
      <c r="AE5" s="254"/>
      <c r="AF5" s="254"/>
      <c r="AG5" s="254"/>
      <c r="AH5" s="254"/>
      <c r="AI5" s="254"/>
      <c r="AJ5" s="254"/>
      <c r="AK5" s="254"/>
      <c r="AL5" s="254"/>
    </row>
    <row r="6" customFormat="false" ht="27" hidden="false" customHeight="true" outlineLevel="0" collapsed="false">
      <c r="A6" s="255" t="s">
        <v>473</v>
      </c>
      <c r="B6" s="255"/>
      <c r="C6" s="255"/>
      <c r="D6" s="255"/>
      <c r="E6" s="255"/>
      <c r="F6" s="255"/>
      <c r="G6" s="255"/>
      <c r="H6" s="255"/>
      <c r="I6" s="255"/>
      <c r="J6" s="254"/>
      <c r="K6" s="254"/>
      <c r="L6" s="254"/>
      <c r="M6" s="254"/>
      <c r="N6" s="254"/>
      <c r="O6" s="254"/>
      <c r="P6" s="254"/>
      <c r="Q6" s="254"/>
      <c r="R6" s="254"/>
      <c r="S6" s="254"/>
      <c r="T6" s="254"/>
      <c r="U6" s="254"/>
      <c r="V6" s="254"/>
      <c r="W6" s="254"/>
      <c r="X6" s="254"/>
      <c r="Y6" s="254"/>
      <c r="Z6" s="254"/>
      <c r="AA6" s="254"/>
      <c r="AB6" s="254"/>
      <c r="AC6" s="254"/>
      <c r="AD6" s="254"/>
      <c r="AE6" s="254"/>
      <c r="AF6" s="254"/>
      <c r="AG6" s="254"/>
      <c r="AH6" s="254"/>
      <c r="AI6" s="254"/>
      <c r="AJ6" s="254"/>
      <c r="AK6" s="254"/>
      <c r="AL6" s="254"/>
    </row>
    <row r="7" customFormat="false" ht="25.5" hidden="false" customHeight="true" outlineLevel="0" collapsed="false">
      <c r="A7" s="256" t="s">
        <v>8</v>
      </c>
      <c r="B7" s="256" t="s">
        <v>223</v>
      </c>
      <c r="C7" s="256" t="s">
        <v>70</v>
      </c>
      <c r="D7" s="256" t="str">
        <f aca="false">"#"&amp;1&amp;"  "&amp;Calculator!$B$29&amp;" m"</f>
        <v>#1  13.3 m</v>
      </c>
      <c r="E7" s="256" t="str">
        <f aca="false">"#"&amp;2&amp;"  "&amp;Calculator!$B$30&amp;" m"</f>
        <v>#2  13.4 m</v>
      </c>
      <c r="F7" s="256" t="str">
        <f aca="false">"#"&amp;3&amp;"  "&amp;Calculator!$B$31&amp;" m"</f>
        <v>#3  13.2 m</v>
      </c>
      <c r="G7" s="256" t="str">
        <f aca="false">"#"&amp;4&amp;"  "&amp;Calculator!$B$32&amp;" m"</f>
        <v>#4  23.3 m</v>
      </c>
      <c r="H7" s="256" t="str">
        <f aca="false">"#"&amp;5&amp;"  "&amp;Calculator!$B$33&amp;" m"</f>
        <v>#5  23.4 m</v>
      </c>
      <c r="I7" s="256" t="s">
        <v>238</v>
      </c>
      <c r="J7" s="254"/>
      <c r="K7" s="254"/>
      <c r="L7" s="254"/>
      <c r="M7" s="254"/>
      <c r="N7" s="254"/>
      <c r="O7" s="254"/>
      <c r="P7" s="254"/>
      <c r="Q7" s="254"/>
      <c r="R7" s="254"/>
      <c r="S7" s="254"/>
      <c r="T7" s="254"/>
      <c r="U7" s="254"/>
      <c r="V7" s="254"/>
      <c r="W7" s="254"/>
      <c r="X7" s="254"/>
      <c r="Y7" s="254"/>
      <c r="Z7" s="254"/>
      <c r="AA7" s="254"/>
      <c r="AB7" s="254"/>
      <c r="AC7" s="254"/>
      <c r="AD7" s="254"/>
      <c r="AE7" s="254"/>
      <c r="AF7" s="254"/>
      <c r="AG7" s="254"/>
      <c r="AH7" s="254"/>
      <c r="AI7" s="254"/>
      <c r="AJ7" s="254"/>
      <c r="AK7" s="254"/>
      <c r="AL7" s="254"/>
    </row>
    <row r="8" customFormat="false" ht="15" hidden="false" customHeight="true" outlineLevel="0" collapsed="false">
      <c r="A8" s="257" t="str">
        <f aca="false">IF(Calculator!$E$12="YES","★ "&amp;"160m","160m")</f>
        <v>160m</v>
      </c>
      <c r="B8" s="257" t="n">
        <f aca="false">ROUND(Calculator!D12,3)</f>
        <v>1.9</v>
      </c>
      <c r="C8" s="258" t="n">
        <f aca="false">Calculator!$F$12</f>
        <v>75</v>
      </c>
      <c r="D8" s="259" t="str">
        <f aca="false">IF(AND(Calculator!$E$12="YES",Calculator!$B$29&gt;=Calculator!$G$12),ROUND(50*POWER(80,POWER(COS(PI()*MOD(Calculator!$B$29/Calculator!$F$12,1)),2)),1),"—")</f>
        <v>—</v>
      </c>
      <c r="E8" s="259" t="str">
        <f aca="false">IF(AND(Calculator!$E$12="YES",Calculator!$B$30&gt;=Calculator!$G$12),ROUND(50*POWER(80,POWER(COS(PI()*MOD(Calculator!$B$30/Calculator!$F$12,1)),2)),1),"—")</f>
        <v>—</v>
      </c>
      <c r="F8" s="259" t="str">
        <f aca="false">IF(AND(Calculator!$E$12="YES",Calculator!$B$31&gt;=Calculator!$G$12),ROUND(50*POWER(80,POWER(COS(PI()*MOD(Calculator!$B$31/Calculator!$F$12,1)),2)),1),"—")</f>
        <v>—</v>
      </c>
      <c r="G8" s="259" t="str">
        <f aca="false">IF(AND(Calculator!$E$12="YES",Calculator!$B$32&gt;=Calculator!$G$12),ROUND(50*POWER(80,POWER(COS(PI()*MOD(Calculator!$B$32/Calculator!$F$12,1)),2)),1),"—")</f>
        <v>—</v>
      </c>
      <c r="H8" s="259" t="str">
        <f aca="false">IF(AND(Calculator!$E$12="YES",Calculator!$B$33&gt;=Calculator!$G$12),ROUND(50*POWER(80,POWER(COS(PI()*MOD(Calculator!$B$33/Calculator!$F$12,1)),2)),1),"—")</f>
        <v>—</v>
      </c>
      <c r="I8" s="259" t="str">
        <f aca="false">IF(Calculator!$E12&lt;&gt;"YES","Inactive",IF(Calculator!$B$29&lt;Calculator!$G$12,"Wire too short","X_est #1: "&amp;ROUND(1500*ABS(SIN(2*PI()*MOD(Calculator!$B$29/Calculator!$F12,1))),0)&amp;" Ω"))</f>
        <v>Inactive</v>
      </c>
      <c r="J8" s="254"/>
      <c r="K8" s="254"/>
      <c r="L8" s="254"/>
      <c r="M8" s="254"/>
      <c r="N8" s="254"/>
      <c r="O8" s="254"/>
      <c r="P8" s="254"/>
      <c r="Q8" s="254"/>
      <c r="R8" s="254"/>
      <c r="S8" s="254"/>
      <c r="T8" s="254"/>
      <c r="U8" s="254"/>
      <c r="V8" s="254"/>
      <c r="W8" s="254"/>
      <c r="X8" s="254"/>
      <c r="Y8" s="254"/>
      <c r="Z8" s="254"/>
      <c r="AA8" s="254"/>
      <c r="AB8" s="254"/>
      <c r="AC8" s="254"/>
      <c r="AD8" s="254"/>
      <c r="AE8" s="254"/>
      <c r="AF8" s="254"/>
      <c r="AG8" s="254"/>
      <c r="AH8" s="254"/>
      <c r="AI8" s="254"/>
      <c r="AJ8" s="254"/>
      <c r="AK8" s="254"/>
      <c r="AL8" s="254"/>
    </row>
    <row r="9" customFormat="false" ht="15" hidden="false" customHeight="true" outlineLevel="0" collapsed="false">
      <c r="A9" s="257" t="str">
        <f aca="false">IF(Calculator!$E$13="YES","★ "&amp;"80m","80m")</f>
        <v>80m</v>
      </c>
      <c r="B9" s="257" t="n">
        <f aca="false">ROUND(Calculator!D13,3)</f>
        <v>3.65</v>
      </c>
      <c r="C9" s="258" t="n">
        <f aca="false">Calculator!$F$13</f>
        <v>39.041095890411</v>
      </c>
      <c r="D9" s="259" t="str">
        <f aca="false">IF(AND(Calculator!$E$13="YES",Calculator!$B$29&gt;=Calculator!$G$13),ROUND(50*POWER(80,POWER(COS(PI()*MOD(Calculator!$B$29/Calculator!$F$13,1)),2)),1),"—")</f>
        <v>—</v>
      </c>
      <c r="E9" s="259" t="str">
        <f aca="false">IF(AND(Calculator!$E$13="YES",Calculator!$B$30&gt;=Calculator!$G$13),ROUND(50*POWER(80,POWER(COS(PI()*MOD(Calculator!$B$30/Calculator!$F$13,1)),2)),1),"—")</f>
        <v>—</v>
      </c>
      <c r="F9" s="259" t="str">
        <f aca="false">IF(AND(Calculator!$E$13="YES",Calculator!$B$31&gt;=Calculator!$G$13),ROUND(50*POWER(80,POWER(COS(PI()*MOD(Calculator!$B$31/Calculator!$F$13,1)),2)),1),"—")</f>
        <v>—</v>
      </c>
      <c r="G9" s="259" t="str">
        <f aca="false">IF(AND(Calculator!$E$13="YES",Calculator!$B$32&gt;=Calculator!$G$13),ROUND(50*POWER(80,POWER(COS(PI()*MOD(Calculator!$B$32/Calculator!$F$13,1)),2)),1),"—")</f>
        <v>—</v>
      </c>
      <c r="H9" s="259" t="str">
        <f aca="false">IF(AND(Calculator!$E$13="YES",Calculator!$B$33&gt;=Calculator!$G$13),ROUND(50*POWER(80,POWER(COS(PI()*MOD(Calculator!$B$33/Calculator!$F$13,1)),2)),1),"—")</f>
        <v>—</v>
      </c>
      <c r="I9" s="259" t="str">
        <f aca="false">IF(Calculator!$E13&lt;&gt;"YES","Inactive",IF(Calculator!$B$29&lt;Calculator!$G$13,"Wire too short","X_est #1: "&amp;ROUND(1500*ABS(SIN(2*PI()*MOD(Calculator!$B$29/Calculator!$F13,1))),0)&amp;" Ω"))</f>
        <v>Inactive</v>
      </c>
      <c r="J9" s="254"/>
      <c r="K9" s="254"/>
      <c r="L9" s="254"/>
      <c r="M9" s="254"/>
      <c r="N9" s="254"/>
      <c r="O9" s="254"/>
      <c r="P9" s="254"/>
      <c r="Q9" s="254"/>
      <c r="R9" s="254"/>
      <c r="S9" s="254"/>
      <c r="T9" s="254"/>
      <c r="U9" s="254"/>
      <c r="V9" s="254"/>
      <c r="W9" s="254"/>
      <c r="X9" s="254"/>
      <c r="Y9" s="254"/>
      <c r="Z9" s="254"/>
      <c r="AA9" s="254"/>
      <c r="AB9" s="254"/>
      <c r="AC9" s="254"/>
      <c r="AD9" s="254"/>
      <c r="AE9" s="254"/>
      <c r="AF9" s="254"/>
      <c r="AG9" s="254"/>
      <c r="AH9" s="254"/>
      <c r="AI9" s="254"/>
      <c r="AJ9" s="254"/>
      <c r="AK9" s="254"/>
      <c r="AL9" s="254"/>
    </row>
    <row r="10" customFormat="false" ht="15" hidden="false" customHeight="true" outlineLevel="0" collapsed="false">
      <c r="A10" s="257" t="str">
        <f aca="false">IF(Calculator!$E$14="YES","★ "&amp;"60m","60m")</f>
        <v>60m</v>
      </c>
      <c r="B10" s="257" t="n">
        <f aca="false">ROUND(Calculator!D14,3)</f>
        <v>5.359</v>
      </c>
      <c r="C10" s="258" t="n">
        <f aca="false">Calculator!$F$14</f>
        <v>26.5907818622877</v>
      </c>
      <c r="D10" s="259" t="str">
        <f aca="false">IF(AND(Calculator!$E$14="YES",Calculator!$B$29&gt;=Calculator!$G$14),ROUND(50*POWER(80,POWER(COS(PI()*MOD(Calculator!$B$29/Calculator!$F$14,1)),2)),1),"—")</f>
        <v>—</v>
      </c>
      <c r="E10" s="259" t="str">
        <f aca="false">IF(AND(Calculator!$E$14="YES",Calculator!$B$30&gt;=Calculator!$G$14),ROUND(50*POWER(80,POWER(COS(PI()*MOD(Calculator!$B$30/Calculator!$F$14,1)),2)),1),"—")</f>
        <v>—</v>
      </c>
      <c r="F10" s="259" t="str">
        <f aca="false">IF(AND(Calculator!$E$14="YES",Calculator!$B$31&gt;=Calculator!$G$14),ROUND(50*POWER(80,POWER(COS(PI()*MOD(Calculator!$B$31/Calculator!$F$14,1)),2)),1),"—")</f>
        <v>—</v>
      </c>
      <c r="G10" s="259" t="str">
        <f aca="false">IF(AND(Calculator!$E$14="YES",Calculator!$B$32&gt;=Calculator!$G$14),ROUND(50*POWER(80,POWER(COS(PI()*MOD(Calculator!$B$32/Calculator!$F$14,1)),2)),1),"—")</f>
        <v>—</v>
      </c>
      <c r="H10" s="259" t="str">
        <f aca="false">IF(AND(Calculator!$E$14="YES",Calculator!$B$33&gt;=Calculator!$G$14),ROUND(50*POWER(80,POWER(COS(PI()*MOD(Calculator!$B$33/Calculator!$F$14,1)),2)),1),"—")</f>
        <v>—</v>
      </c>
      <c r="I10" s="259" t="str">
        <f aca="false">IF(Calculator!$E14&lt;&gt;"YES","Inactive",IF(Calculator!$B$29&lt;Calculator!$G$14,"Wire too short","X_est #1: "&amp;ROUND(1500*ABS(SIN(2*PI()*MOD(Calculator!$B$29/Calculator!$F14,1))),0)&amp;" Ω"))</f>
        <v>Inactive</v>
      </c>
      <c r="J10" s="254"/>
      <c r="K10" s="254"/>
      <c r="L10" s="254"/>
      <c r="M10" s="254"/>
      <c r="N10" s="254"/>
      <c r="O10" s="254"/>
      <c r="P10" s="254"/>
      <c r="Q10" s="254"/>
      <c r="R10" s="254"/>
      <c r="S10" s="254"/>
      <c r="T10" s="254"/>
      <c r="U10" s="254"/>
      <c r="V10" s="254"/>
      <c r="W10" s="254"/>
      <c r="X10" s="254"/>
      <c r="Y10" s="254"/>
      <c r="Z10" s="254"/>
      <c r="AA10" s="254"/>
      <c r="AB10" s="254"/>
      <c r="AC10" s="254"/>
      <c r="AD10" s="254"/>
      <c r="AE10" s="254"/>
      <c r="AF10" s="254"/>
      <c r="AG10" s="254"/>
      <c r="AH10" s="254"/>
      <c r="AI10" s="254"/>
      <c r="AJ10" s="254"/>
      <c r="AK10" s="254"/>
      <c r="AL10" s="254"/>
    </row>
    <row r="11" customFormat="false" ht="27" hidden="false" customHeight="true" outlineLevel="0" collapsed="false">
      <c r="A11" s="257" t="str">
        <f aca="false">IF(Calculator!$E$15="YES","★ "&amp;"40m","40m")</f>
        <v>★ 40m</v>
      </c>
      <c r="B11" s="257" t="n">
        <f aca="false">ROUND(Calculator!D15,3)</f>
        <v>7.15</v>
      </c>
      <c r="C11" s="258" t="n">
        <f aca="false">Calculator!$F$15</f>
        <v>19.9300699300699</v>
      </c>
      <c r="D11" s="259" t="n">
        <f aca="false">IF(AND(Calculator!$E$15="YES",Calculator!$B$29&gt;=Calculator!$G$15),ROUND(50*POWER(80,POWER(COS(PI()*MOD(Calculator!$B$29/Calculator!$F$15,1)),2)),1),"—")</f>
        <v>150.7</v>
      </c>
      <c r="E11" s="259" t="n">
        <f aca="false">IF(AND(Calculator!$E$15="YES",Calculator!$B$30&gt;=Calculator!$G$15),ROUND(50*POWER(80,POWER(COS(PI()*MOD(Calculator!$B$30/Calculator!$F$15,1)),2)),1),"—")</f>
        <v>160.1</v>
      </c>
      <c r="F11" s="259" t="n">
        <f aca="false">IF(AND(Calculator!$E$15="YES",Calculator!$B$31&gt;=Calculator!$G$15),ROUND(50*POWER(80,POWER(COS(PI()*MOD(Calculator!$B$31/Calculator!$F$15,1)),2)),1),"—")</f>
        <v>142</v>
      </c>
      <c r="G11" s="259" t="n">
        <f aca="false">IF(AND(Calculator!$E$15="YES",Calculator!$B$32&gt;=Calculator!$G$15),ROUND(50*POWER(80,POWER(COS(PI()*MOD(Calculator!$B$32/Calculator!$F$15,1)),2)),1),"—")</f>
        <v>1299.3</v>
      </c>
      <c r="H11" s="259" t="n">
        <f aca="false">IF(AND(Calculator!$E$15="YES",Calculator!$B$33&gt;=Calculator!$G$15),ROUND(50*POWER(80,POWER(COS(PI()*MOD(Calculator!$B$33/Calculator!$F$15,1)),2)),1),"—")</f>
        <v>1222.6</v>
      </c>
      <c r="I11" s="259" t="str">
        <f aca="false">IF(Calculator!$E15&lt;&gt;"YES","Inactive",IF(Calculator!$B$29&lt;Calculator!$G$15,"Wire too short","X_est #1: "&amp;ROUND(1500*ABS(SIN(2*PI()*MOD(Calculator!$B$29/Calculator!$F15,1))),0)&amp;" Ω"))</f>
        <v>X_est #1: 1302 Ω</v>
      </c>
      <c r="J11" s="254"/>
      <c r="K11" s="254"/>
      <c r="L11" s="254"/>
      <c r="M11" s="254"/>
      <c r="N11" s="254"/>
      <c r="O11" s="254"/>
      <c r="P11" s="254"/>
      <c r="Q11" s="254"/>
      <c r="R11" s="254"/>
      <c r="S11" s="254"/>
      <c r="T11" s="254"/>
      <c r="U11" s="254"/>
      <c r="V11" s="254"/>
      <c r="W11" s="254"/>
      <c r="X11" s="254"/>
      <c r="Y11" s="254"/>
      <c r="Z11" s="254"/>
      <c r="AA11" s="254"/>
      <c r="AB11" s="254"/>
      <c r="AC11" s="254"/>
      <c r="AD11" s="254"/>
      <c r="AE11" s="254"/>
      <c r="AF11" s="254"/>
      <c r="AG11" s="254"/>
      <c r="AH11" s="254"/>
      <c r="AI11" s="254"/>
      <c r="AJ11" s="254"/>
      <c r="AK11" s="254"/>
      <c r="AL11" s="254"/>
    </row>
    <row r="12" customFormat="false" ht="15" hidden="false" customHeight="true" outlineLevel="0" collapsed="false">
      <c r="A12" s="257" t="str">
        <f aca="false">IF(Calculator!$E$16="YES","★ "&amp;"30m","30m")</f>
        <v>30m</v>
      </c>
      <c r="B12" s="257" t="n">
        <f aca="false">ROUND(Calculator!D16,3)</f>
        <v>10.125</v>
      </c>
      <c r="C12" s="258" t="n">
        <f aca="false">Calculator!$F$16</f>
        <v>14.0740740740741</v>
      </c>
      <c r="D12" s="259" t="str">
        <f aca="false">IF(AND(Calculator!$E$16="YES",Calculator!$B$29&gt;=Calculator!$G$16),ROUND(50*POWER(80,POWER(COS(PI()*MOD(Calculator!$B$29/Calculator!$F$16,1)),2)),1),"—")</f>
        <v>—</v>
      </c>
      <c r="E12" s="259" t="str">
        <f aca="false">IF(AND(Calculator!$E$16="YES",Calculator!$B$30&gt;=Calculator!$G$16),ROUND(50*POWER(80,POWER(COS(PI()*MOD(Calculator!$B$30/Calculator!$F$16,1)),2)),1),"—")</f>
        <v>—</v>
      </c>
      <c r="F12" s="259" t="str">
        <f aca="false">IF(AND(Calculator!$E$16="YES",Calculator!$B$31&gt;=Calculator!$G$16),ROUND(50*POWER(80,POWER(COS(PI()*MOD(Calculator!$B$31/Calculator!$F$16,1)),2)),1),"—")</f>
        <v>—</v>
      </c>
      <c r="G12" s="259" t="str">
        <f aca="false">IF(AND(Calculator!$E$16="YES",Calculator!$B$32&gt;=Calculator!$G$16),ROUND(50*POWER(80,POWER(COS(PI()*MOD(Calculator!$B$32/Calculator!$F$16,1)),2)),1),"—")</f>
        <v>—</v>
      </c>
      <c r="H12" s="259" t="str">
        <f aca="false">IF(AND(Calculator!$E$16="YES",Calculator!$B$33&gt;=Calculator!$G$16),ROUND(50*POWER(80,POWER(COS(PI()*MOD(Calculator!$B$33/Calculator!$F$16,1)),2)),1),"—")</f>
        <v>—</v>
      </c>
      <c r="I12" s="259" t="str">
        <f aca="false">IF(Calculator!$E16&lt;&gt;"YES","Inactive",IF(Calculator!$B$29&lt;Calculator!$G$16,"Wire too short","X_est #1: "&amp;ROUND(1500*ABS(SIN(2*PI()*MOD(Calculator!$B$29/Calculator!$F16,1))),0)&amp;" Ω"))</f>
        <v>Inactive</v>
      </c>
      <c r="J12" s="254"/>
      <c r="K12" s="254"/>
      <c r="L12" s="254"/>
      <c r="M12" s="254"/>
      <c r="N12" s="254"/>
      <c r="O12" s="254"/>
      <c r="P12" s="254"/>
      <c r="Q12" s="254"/>
      <c r="R12" s="254"/>
      <c r="S12" s="254"/>
      <c r="T12" s="254"/>
      <c r="U12" s="254"/>
      <c r="V12" s="254"/>
      <c r="W12" s="254"/>
      <c r="X12" s="254"/>
      <c r="Y12" s="254"/>
      <c r="Z12" s="254"/>
      <c r="AA12" s="254"/>
      <c r="AB12" s="254"/>
      <c r="AC12" s="254"/>
      <c r="AD12" s="254"/>
      <c r="AE12" s="254"/>
      <c r="AF12" s="254"/>
      <c r="AG12" s="254"/>
      <c r="AH12" s="254"/>
      <c r="AI12" s="254"/>
      <c r="AJ12" s="254"/>
      <c r="AK12" s="254"/>
      <c r="AL12" s="254"/>
    </row>
    <row r="13" customFormat="false" ht="27" hidden="false" customHeight="true" outlineLevel="0" collapsed="false">
      <c r="A13" s="257" t="str">
        <f aca="false">IF(Calculator!$E$17="YES","★ "&amp;"20m","20m")</f>
        <v>★ 20m</v>
      </c>
      <c r="B13" s="257" t="n">
        <f aca="false">ROUND(Calculator!D17,3)</f>
        <v>14.175</v>
      </c>
      <c r="C13" s="258" t="n">
        <f aca="false">Calculator!$F$17</f>
        <v>10.0529100529101</v>
      </c>
      <c r="D13" s="259" t="n">
        <f aca="false">IF(AND(Calculator!$E$17="YES",Calculator!$B$29&gt;=Calculator!$G$17),ROUND(50*POWER(80,POWER(COS(PI()*MOD(Calculator!$B$29/Calculator!$F$17,1)),2)),1),"—")</f>
        <v>169.5</v>
      </c>
      <c r="E13" s="259" t="n">
        <f aca="false">IF(AND(Calculator!$E$17="YES",Calculator!$B$30&gt;=Calculator!$G$17),ROUND(50*POWER(80,POWER(COS(PI()*MOD(Calculator!$B$30/Calculator!$F$17,1)),2)),1),"—")</f>
        <v>150.2</v>
      </c>
      <c r="F13" s="259" t="n">
        <f aca="false">IF(AND(Calculator!$E$17="YES",Calculator!$B$31&gt;=Calculator!$G$17),ROUND(50*POWER(80,POWER(COS(PI()*MOD(Calculator!$B$31/Calculator!$F$17,1)),2)),1),"—")</f>
        <v>192</v>
      </c>
      <c r="G13" s="259" t="n">
        <f aca="false">IF(AND(Calculator!$E$17="YES",Calculator!$B$32&gt;=Calculator!$G$17),ROUND(50*POWER(80,POWER(COS(PI()*MOD(Calculator!$B$32/Calculator!$F$17,1)),2)),1),"—")</f>
        <v>181</v>
      </c>
      <c r="H13" s="259" t="n">
        <f aca="false">IF(AND(Calculator!$E$17="YES",Calculator!$B$33&gt;=Calculator!$G$17),ROUND(50*POWER(80,POWER(COS(PI()*MOD(Calculator!$B$33/Calculator!$F$17,1)),2)),1),"—")</f>
        <v>160.1</v>
      </c>
      <c r="I13" s="259" t="str">
        <f aca="false">IF(Calculator!$E17&lt;&gt;"YES","Inactive",IF(Calculator!$B$29&lt;Calculator!$G$17,"Wire too short","X_est #1: "&amp;ROUND(1500*ABS(SIN(2*PI()*MOD(Calculator!$B$29/Calculator!$F17,1))),0)&amp;" Ω"))</f>
        <v>X_est #1: 1345 Ω</v>
      </c>
      <c r="J13" s="254"/>
      <c r="K13" s="254"/>
      <c r="L13" s="254"/>
      <c r="M13" s="254"/>
      <c r="N13" s="254"/>
      <c r="O13" s="254"/>
      <c r="P13" s="254"/>
      <c r="Q13" s="254"/>
      <c r="R13" s="254"/>
      <c r="S13" s="254"/>
      <c r="T13" s="254"/>
      <c r="U13" s="254"/>
      <c r="V13" s="254"/>
      <c r="W13" s="254"/>
      <c r="X13" s="254"/>
      <c r="Y13" s="254"/>
      <c r="Z13" s="254"/>
      <c r="AA13" s="254"/>
      <c r="AB13" s="254"/>
      <c r="AC13" s="254"/>
      <c r="AD13" s="254"/>
      <c r="AE13" s="254"/>
      <c r="AF13" s="254"/>
      <c r="AG13" s="254"/>
      <c r="AH13" s="254"/>
      <c r="AI13" s="254"/>
      <c r="AJ13" s="254"/>
      <c r="AK13" s="254"/>
      <c r="AL13" s="254"/>
    </row>
    <row r="14" customFormat="false" ht="15" hidden="false" customHeight="true" outlineLevel="0" collapsed="false">
      <c r="A14" s="257" t="str">
        <f aca="false">IF(Calculator!$E$18="YES","★ "&amp;"17m","17m")</f>
        <v>17m</v>
      </c>
      <c r="B14" s="257" t="n">
        <f aca="false">ROUND(Calculator!D18,3)</f>
        <v>18.118</v>
      </c>
      <c r="C14" s="258" t="n">
        <f aca="false">Calculator!$F$18</f>
        <v>7.86510652389888</v>
      </c>
      <c r="D14" s="257" t="str">
        <f aca="false">IF(AND(Calculator!$E$18="YES",Calculator!$B$29&gt;=Calculator!$G$18),ROUND(50*POWER(80,POWER(COS(PI()*MOD(Calculator!$B$29/Calculator!$F$18,1)),2)),1),"—")</f>
        <v>—</v>
      </c>
      <c r="E14" s="257" t="str">
        <f aca="false">IF(AND(Calculator!$E$18="YES",Calculator!$B$30&gt;=Calculator!$G$18),ROUND(50*POWER(80,POWER(COS(PI()*MOD(Calculator!$B$30/Calculator!$F$18,1)),2)),1),"—")</f>
        <v>—</v>
      </c>
      <c r="F14" s="257" t="str">
        <f aca="false">IF(AND(Calculator!$E$18="YES",Calculator!$B$31&gt;=Calculator!$G$18),ROUND(50*POWER(80,POWER(COS(PI()*MOD(Calculator!$B$31/Calculator!$F$18,1)),2)),1),"—")</f>
        <v>—</v>
      </c>
      <c r="G14" s="257" t="str">
        <f aca="false">IF(AND(Calculator!$E$18="YES",Calculator!$B$32&gt;=Calculator!$G$18),ROUND(50*POWER(80,POWER(COS(PI()*MOD(Calculator!$B$32/Calculator!$F$18,1)),2)),1),"—")</f>
        <v>—</v>
      </c>
      <c r="H14" s="257" t="str">
        <f aca="false">IF(AND(Calculator!$E$18="YES",Calculator!$B$33&gt;=Calculator!$G$18),ROUND(50*POWER(80,POWER(COS(PI()*MOD(Calculator!$B$33/Calculator!$F$18,1)),2)),1),"—")</f>
        <v>—</v>
      </c>
      <c r="I14" s="257" t="str">
        <f aca="false">IF(Calculator!$E18&lt;&gt;"YES","Inactive",IF(Calculator!$B$29&lt;Calculator!$G$18,"Wire too short","X_est #1: "&amp;ROUND(1500*ABS(SIN(2*PI()*MOD(Calculator!$B$29/Calculator!$F18,1))),0)&amp;" Ω"))</f>
        <v>Inactive</v>
      </c>
      <c r="J14" s="254"/>
      <c r="K14" s="254"/>
      <c r="L14" s="254"/>
      <c r="M14" s="254"/>
      <c r="N14" s="254"/>
      <c r="O14" s="254"/>
      <c r="P14" s="254"/>
      <c r="Q14" s="254"/>
      <c r="R14" s="254"/>
      <c r="S14" s="254"/>
      <c r="T14" s="254"/>
      <c r="U14" s="254"/>
      <c r="V14" s="254"/>
      <c r="W14" s="254"/>
      <c r="X14" s="254"/>
      <c r="Y14" s="254"/>
      <c r="Z14" s="254"/>
      <c r="AA14" s="254"/>
      <c r="AB14" s="254"/>
      <c r="AC14" s="254"/>
      <c r="AD14" s="254"/>
      <c r="AE14" s="254"/>
      <c r="AF14" s="254"/>
      <c r="AG14" s="254"/>
      <c r="AH14" s="254"/>
      <c r="AI14" s="254"/>
      <c r="AJ14" s="254"/>
      <c r="AK14" s="254"/>
      <c r="AL14" s="254"/>
    </row>
    <row r="15" customFormat="false" ht="15" hidden="false" customHeight="true" outlineLevel="0" collapsed="false">
      <c r="A15" s="257" t="str">
        <f aca="false">IF(Calculator!$E$19="YES","★ "&amp;"15m","15m")</f>
        <v>15m</v>
      </c>
      <c r="B15" s="257" t="n">
        <f aca="false">ROUND(Calculator!D19,3)</f>
        <v>21.225</v>
      </c>
      <c r="C15" s="258" t="n">
        <f aca="false">Calculator!$F$19</f>
        <v>6.71378091872792</v>
      </c>
      <c r="D15" s="257" t="str">
        <f aca="false">IF(AND(Calculator!$E$19="YES",Calculator!$B$29&gt;=Calculator!$G$19),ROUND(50*POWER(80,POWER(COS(PI()*MOD(Calculator!$B$29/Calculator!$F$19,1)),2)),1),"—")</f>
        <v>—</v>
      </c>
      <c r="E15" s="257" t="str">
        <f aca="false">IF(AND(Calculator!$E$19="YES",Calculator!$B$30&gt;=Calculator!$G$19),ROUND(50*POWER(80,POWER(COS(PI()*MOD(Calculator!$B$30/Calculator!$F$19,1)),2)),1),"—")</f>
        <v>—</v>
      </c>
      <c r="F15" s="257" t="str">
        <f aca="false">IF(AND(Calculator!$E$19="YES",Calculator!$B$31&gt;=Calculator!$G$19),ROUND(50*POWER(80,POWER(COS(PI()*MOD(Calculator!$B$31/Calculator!$F$19,1)),2)),1),"—")</f>
        <v>—</v>
      </c>
      <c r="G15" s="257" t="str">
        <f aca="false">IF(AND(Calculator!$E$19="YES",Calculator!$B$32&gt;=Calculator!$G$19),ROUND(50*POWER(80,POWER(COS(PI()*MOD(Calculator!$B$32/Calculator!$F$19,1)),2)),1),"—")</f>
        <v>—</v>
      </c>
      <c r="H15" s="257" t="str">
        <f aca="false">IF(AND(Calculator!$E$19="YES",Calculator!$B$33&gt;=Calculator!$G$19),ROUND(50*POWER(80,POWER(COS(PI()*MOD(Calculator!$B$33/Calculator!$F$19,1)),2)),1),"—")</f>
        <v>—</v>
      </c>
      <c r="I15" s="257" t="str">
        <f aca="false">IF(Calculator!$E19&lt;&gt;"YES","Inactive",IF(Calculator!$B$29&lt;Calculator!$G$19,"Wire too short","X_est #1: "&amp;ROUND(1500*ABS(SIN(2*PI()*MOD(Calculator!$B$29/Calculator!$F19,1))),0)&amp;" Ω"))</f>
        <v>Inactive</v>
      </c>
      <c r="J15" s="254"/>
      <c r="K15" s="254"/>
      <c r="L15" s="254"/>
      <c r="M15" s="254"/>
      <c r="N15" s="254"/>
      <c r="O15" s="254"/>
      <c r="P15" s="254"/>
      <c r="Q15" s="254"/>
      <c r="R15" s="254"/>
      <c r="S15" s="254"/>
      <c r="T15" s="254"/>
      <c r="U15" s="254"/>
      <c r="V15" s="254"/>
      <c r="W15" s="254"/>
      <c r="X15" s="254"/>
      <c r="Y15" s="254"/>
      <c r="Z15" s="254"/>
      <c r="AA15" s="254"/>
      <c r="AB15" s="254"/>
      <c r="AC15" s="254"/>
      <c r="AD15" s="254"/>
      <c r="AE15" s="254"/>
      <c r="AF15" s="254"/>
      <c r="AG15" s="254"/>
      <c r="AH15" s="254"/>
      <c r="AI15" s="254"/>
      <c r="AJ15" s="254"/>
      <c r="AK15" s="254"/>
      <c r="AL15" s="254"/>
    </row>
    <row r="16" customFormat="false" ht="15" hidden="false" customHeight="true" outlineLevel="0" collapsed="false">
      <c r="A16" s="257" t="str">
        <f aca="false">IF(Calculator!$E$20="YES","★ "&amp;"12m","12m")</f>
        <v>12m</v>
      </c>
      <c r="B16" s="257" t="n">
        <f aca="false">ROUND(Calculator!D20,3)</f>
        <v>24.94</v>
      </c>
      <c r="C16" s="258" t="n">
        <f aca="false">Calculator!$F$20</f>
        <v>5.71371291098637</v>
      </c>
      <c r="D16" s="257" t="str">
        <f aca="false">IF(AND(Calculator!$E$20="YES",Calculator!$B$29&gt;=Calculator!$G$20),ROUND(50*POWER(80,POWER(COS(PI()*MOD(Calculator!$B$29/Calculator!$F$20,1)),2)),1),"—")</f>
        <v>—</v>
      </c>
      <c r="E16" s="257" t="str">
        <f aca="false">IF(AND(Calculator!$E$20="YES",Calculator!$B$30&gt;=Calculator!$G$20),ROUND(50*POWER(80,POWER(COS(PI()*MOD(Calculator!$B$30/Calculator!$F$20,1)),2)),1),"—")</f>
        <v>—</v>
      </c>
      <c r="F16" s="257" t="str">
        <f aca="false">IF(AND(Calculator!$E$20="YES",Calculator!$B$31&gt;=Calculator!$G$20),ROUND(50*POWER(80,POWER(COS(PI()*MOD(Calculator!$B$31/Calculator!$F$20,1)),2)),1),"—")</f>
        <v>—</v>
      </c>
      <c r="G16" s="257" t="str">
        <f aca="false">IF(AND(Calculator!$E$20="YES",Calculator!$B$32&gt;=Calculator!$G$20),ROUND(50*POWER(80,POWER(COS(PI()*MOD(Calculator!$B$32/Calculator!$F$20,1)),2)),1),"—")</f>
        <v>—</v>
      </c>
      <c r="H16" s="257" t="str">
        <f aca="false">IF(AND(Calculator!$E$20="YES",Calculator!$B$33&gt;=Calculator!$G$20),ROUND(50*POWER(80,POWER(COS(PI()*MOD(Calculator!$B$33/Calculator!$F$20,1)),2)),1),"—")</f>
        <v>—</v>
      </c>
      <c r="I16" s="257" t="str">
        <f aca="false">IF(Calculator!$E20&lt;&gt;"YES","Inactive",IF(Calculator!$B$29&lt;Calculator!$G$20,"Wire too short","X_est #1: "&amp;ROUND(1500*ABS(SIN(2*PI()*MOD(Calculator!$B$29/Calculator!$F20,1))),0)&amp;" Ω"))</f>
        <v>Inactive</v>
      </c>
      <c r="J16" s="254"/>
      <c r="K16" s="254"/>
      <c r="L16" s="254"/>
      <c r="M16" s="254"/>
      <c r="N16" s="254"/>
      <c r="O16" s="254"/>
      <c r="P16" s="254"/>
      <c r="Q16" s="254"/>
      <c r="R16" s="254"/>
      <c r="S16" s="254"/>
      <c r="T16" s="254"/>
      <c r="U16" s="254"/>
      <c r="V16" s="254"/>
      <c r="W16" s="254"/>
      <c r="X16" s="254"/>
      <c r="Y16" s="254"/>
      <c r="Z16" s="254"/>
      <c r="AA16" s="254"/>
      <c r="AB16" s="254"/>
      <c r="AC16" s="254"/>
      <c r="AD16" s="254"/>
      <c r="AE16" s="254"/>
      <c r="AF16" s="254"/>
      <c r="AG16" s="254"/>
      <c r="AH16" s="254"/>
      <c r="AI16" s="254"/>
      <c r="AJ16" s="254"/>
      <c r="AK16" s="254"/>
      <c r="AL16" s="254"/>
    </row>
    <row r="17" customFormat="false" ht="27" hidden="false" customHeight="true" outlineLevel="0" collapsed="false">
      <c r="A17" s="257" t="str">
        <f aca="false">IF(Calculator!$E$21="YES","★ "&amp;"10m","10m")</f>
        <v>10m</v>
      </c>
      <c r="B17" s="257" t="n">
        <f aca="false">ROUND(Calculator!D21,3)</f>
        <v>28.85</v>
      </c>
      <c r="C17" s="258" t="n">
        <f aca="false">Calculator!$F$21</f>
        <v>4.93934142114385</v>
      </c>
      <c r="D17" s="257" t="str">
        <f aca="false">IF(AND(Calculator!$E$21="YES",Calculator!$B$29&gt;=Calculator!$G$21),ROUND(50*POWER(80,POWER(COS(PI()*MOD(Calculator!$B$29/Calculator!$F$21,1)),2)),1),"—")</f>
        <v>—</v>
      </c>
      <c r="E17" s="257" t="str">
        <f aca="false">IF(AND(Calculator!$E$21="YES",Calculator!$B$30&gt;=Calculator!$G$21),ROUND(50*POWER(80,POWER(COS(PI()*MOD(Calculator!$B$30/Calculator!$F$21,1)),2)),1),"—")</f>
        <v>—</v>
      </c>
      <c r="F17" s="257" t="str">
        <f aca="false">IF(AND(Calculator!$E$21="YES",Calculator!$B$31&gt;=Calculator!$G$21),ROUND(50*POWER(80,POWER(COS(PI()*MOD(Calculator!$B$31/Calculator!$F$21,1)),2)),1),"—")</f>
        <v>—</v>
      </c>
      <c r="G17" s="257" t="str">
        <f aca="false">IF(AND(Calculator!$E$21="YES",Calculator!$B$32&gt;=Calculator!$G$21),ROUND(50*POWER(80,POWER(COS(PI()*MOD(Calculator!$B$32/Calculator!$F$21,1)),2)),1),"—")</f>
        <v>—</v>
      </c>
      <c r="H17" s="257" t="str">
        <f aca="false">IF(AND(Calculator!$E$21="YES",Calculator!$B$33&gt;=Calculator!$G$21),ROUND(50*POWER(80,POWER(COS(PI()*MOD(Calculator!$B$33/Calculator!$F$21,1)),2)),1),"—")</f>
        <v>—</v>
      </c>
      <c r="I17" s="257" t="str">
        <f aca="false">IF(Calculator!$E21&lt;&gt;"YES","Inactive",IF(Calculator!$B$29&lt;Calculator!$G$21,"Wire too short","X_est #1: "&amp;ROUND(1500*ABS(SIN(2*PI()*MOD(Calculator!$B$29/Calculator!$F21,1))),0)&amp;" Ω"))</f>
        <v>Inactive</v>
      </c>
      <c r="J17" s="254"/>
      <c r="K17" s="254"/>
      <c r="L17" s="254"/>
      <c r="M17" s="254"/>
      <c r="N17" s="254"/>
      <c r="O17" s="254"/>
      <c r="P17" s="254"/>
      <c r="Q17" s="254"/>
      <c r="R17" s="254"/>
      <c r="S17" s="254"/>
      <c r="T17" s="254"/>
      <c r="U17" s="254"/>
      <c r="V17" s="254"/>
      <c r="W17" s="254"/>
      <c r="X17" s="254"/>
      <c r="Y17" s="254"/>
      <c r="Z17" s="254"/>
      <c r="AA17" s="254"/>
      <c r="AB17" s="254"/>
      <c r="AC17" s="254"/>
      <c r="AD17" s="254"/>
      <c r="AE17" s="254"/>
      <c r="AF17" s="254"/>
      <c r="AG17" s="254"/>
      <c r="AH17" s="254"/>
      <c r="AI17" s="254"/>
      <c r="AJ17" s="254"/>
      <c r="AK17" s="254"/>
      <c r="AL17" s="254"/>
    </row>
    <row r="18" customFormat="false" ht="15" hidden="false" customHeight="true" outlineLevel="0" collapsed="false">
      <c r="A18" s="257" t="str">
        <f aca="false">IF(Calculator!$E$22="YES","★ "&amp;"6m","6m")</f>
        <v>6m</v>
      </c>
      <c r="B18" s="257" t="n">
        <f aca="false">ROUND(Calculator!D22,3)</f>
        <v>52</v>
      </c>
      <c r="C18" s="258" t="n">
        <f aca="false">Calculator!$F$22</f>
        <v>2.74038461538462</v>
      </c>
      <c r="D18" s="257" t="str">
        <f aca="false">IF(AND(Calculator!$E$22="YES",Calculator!$B$29&gt;=Calculator!$G$22),ROUND(50*POWER(80,POWER(COS(PI()*MOD(Calculator!$B$29/Calculator!$F$22,1)),2)),1),"—")</f>
        <v>—</v>
      </c>
      <c r="E18" s="257" t="str">
        <f aca="false">IF(AND(Calculator!$E$22="YES",Calculator!$B$30&gt;=Calculator!$G$22),ROUND(50*POWER(80,POWER(COS(PI()*MOD(Calculator!$B$30/Calculator!$F$22,1)),2)),1),"—")</f>
        <v>—</v>
      </c>
      <c r="F18" s="257" t="str">
        <f aca="false">IF(AND(Calculator!$E$22="YES",Calculator!$B$31&gt;=Calculator!$G$22),ROUND(50*POWER(80,POWER(COS(PI()*MOD(Calculator!$B$31/Calculator!$F$22,1)),2)),1),"—")</f>
        <v>—</v>
      </c>
      <c r="G18" s="257" t="str">
        <f aca="false">IF(AND(Calculator!$E$22="YES",Calculator!$B$32&gt;=Calculator!$G$22),ROUND(50*POWER(80,POWER(COS(PI()*MOD(Calculator!$B$32/Calculator!$F$22,1)),2)),1),"—")</f>
        <v>—</v>
      </c>
      <c r="H18" s="257" t="str">
        <f aca="false">IF(AND(Calculator!$E$22="YES",Calculator!$B$33&gt;=Calculator!$G$22),ROUND(50*POWER(80,POWER(COS(PI()*MOD(Calculator!$B$33/Calculator!$F$22,1)),2)),1),"—")</f>
        <v>—</v>
      </c>
      <c r="I18" s="257" t="str">
        <f aca="false">IF(Calculator!$E22&lt;&gt;"YES","Inactive",IF(Calculator!$B$29&lt;Calculator!$G$22,"Wire too short","X_est #1: "&amp;ROUND(1500*ABS(SIN(2*PI()*MOD(Calculator!$B$29/Calculator!$F22,1))),0)&amp;" Ω"))</f>
        <v>Inactive</v>
      </c>
      <c r="J18" s="254"/>
      <c r="K18" s="254"/>
      <c r="L18" s="254"/>
      <c r="M18" s="254"/>
      <c r="N18" s="254"/>
      <c r="O18" s="254"/>
      <c r="P18" s="254"/>
      <c r="Q18" s="254"/>
      <c r="R18" s="254"/>
      <c r="S18" s="254"/>
      <c r="T18" s="254"/>
      <c r="U18" s="254"/>
      <c r="V18" s="254"/>
      <c r="W18" s="254"/>
      <c r="X18" s="254"/>
      <c r="Y18" s="254"/>
      <c r="Z18" s="254"/>
      <c r="AA18" s="254"/>
      <c r="AB18" s="254"/>
      <c r="AC18" s="254"/>
      <c r="AD18" s="254"/>
      <c r="AE18" s="254"/>
      <c r="AF18" s="254"/>
      <c r="AG18" s="254"/>
      <c r="AH18" s="254"/>
      <c r="AI18" s="254"/>
      <c r="AJ18" s="254"/>
      <c r="AK18" s="254"/>
      <c r="AL18" s="254"/>
    </row>
    <row r="19" customFormat="false" ht="15" hidden="false" customHeight="true" outlineLevel="0" collapsed="false">
      <c r="A19" s="254"/>
      <c r="B19" s="254"/>
      <c r="C19" s="254"/>
      <c r="D19" s="254"/>
      <c r="E19" s="254"/>
      <c r="F19" s="254"/>
      <c r="G19" s="254"/>
      <c r="H19" s="254"/>
      <c r="I19" s="254"/>
      <c r="J19" s="254"/>
      <c r="K19" s="254"/>
      <c r="L19" s="254"/>
      <c r="M19" s="254"/>
      <c r="N19" s="254"/>
      <c r="O19" s="254"/>
      <c r="P19" s="254"/>
      <c r="Q19" s="254"/>
      <c r="R19" s="254"/>
      <c r="S19" s="254"/>
      <c r="T19" s="254"/>
      <c r="U19" s="254"/>
      <c r="V19" s="254"/>
      <c r="W19" s="254"/>
      <c r="X19" s="254"/>
      <c r="Y19" s="254"/>
      <c r="Z19" s="254"/>
      <c r="AA19" s="254"/>
      <c r="AB19" s="254"/>
      <c r="AC19" s="254"/>
      <c r="AD19" s="254"/>
      <c r="AE19" s="254"/>
      <c r="AF19" s="254"/>
      <c r="AG19" s="254"/>
      <c r="AH19" s="254"/>
      <c r="AI19" s="254"/>
      <c r="AJ19" s="254"/>
      <c r="AK19" s="254"/>
      <c r="AL19" s="254"/>
    </row>
    <row r="20" customFormat="false" ht="15" hidden="false" customHeight="true" outlineLevel="0" collapsed="false">
      <c r="A20" s="260" t="s">
        <v>474</v>
      </c>
      <c r="B20" s="260"/>
      <c r="C20" s="260"/>
      <c r="D20" s="260"/>
      <c r="E20" s="260"/>
      <c r="F20" s="260"/>
      <c r="G20" s="260"/>
      <c r="H20" s="260"/>
      <c r="I20" s="260"/>
      <c r="J20" s="260"/>
      <c r="K20" s="260"/>
      <c r="L20" s="254"/>
      <c r="M20" s="254"/>
      <c r="N20" s="254"/>
      <c r="O20" s="254"/>
      <c r="P20" s="254"/>
      <c r="Q20" s="254"/>
      <c r="R20" s="254"/>
      <c r="S20" s="254"/>
      <c r="T20" s="254"/>
      <c r="U20" s="254"/>
      <c r="V20" s="254"/>
      <c r="W20" s="254"/>
      <c r="X20" s="254"/>
      <c r="Y20" s="254"/>
      <c r="Z20" s="254"/>
      <c r="AA20" s="254"/>
      <c r="AB20" s="254"/>
      <c r="AC20" s="254"/>
      <c r="AD20" s="254"/>
      <c r="AE20" s="254"/>
      <c r="AF20" s="254"/>
      <c r="AG20" s="254"/>
      <c r="AH20" s="254"/>
      <c r="AI20" s="254"/>
      <c r="AJ20" s="254"/>
      <c r="AK20" s="254"/>
      <c r="AL20" s="254"/>
    </row>
    <row r="21" customFormat="false" ht="25.5" hidden="false" customHeight="true" outlineLevel="0" collapsed="false">
      <c r="A21" s="256" t="s">
        <v>8</v>
      </c>
      <c r="B21" s="256" t="str">
        <f aca="false">"#"&amp;1&amp;"  "&amp;Calculator!$B$29&amp;"m"&amp;CHAR(10)&amp;"Optimal Ratio"</f>
        <v>#1  13.3m
Optimal Ratio</v>
      </c>
      <c r="C21" s="256" t="str">
        <f aca="false">"#"&amp;2&amp;"  "&amp;Calculator!$B$30&amp;"m"&amp;CHAR(10)&amp;"Optimal Ratio"</f>
        <v>#2  13.4m
Optimal Ratio</v>
      </c>
      <c r="D21" s="256" t="str">
        <f aca="false">"#"&amp;3&amp;"  "&amp;Calculator!$B$31&amp;"m"&amp;CHAR(10)&amp;"Optimal Ratio"</f>
        <v>#3  13.2m
Optimal Ratio</v>
      </c>
      <c r="E21" s="256" t="str">
        <f aca="false">"#"&amp;4&amp;"  "&amp;Calculator!$B$32&amp;"m"&amp;CHAR(10)&amp;"Optimal Ratio"</f>
        <v>#4  23.3m
Optimal Ratio</v>
      </c>
      <c r="F21" s="256" t="str">
        <f aca="false">"#"&amp;5&amp;"  "&amp;Calculator!$B$33&amp;"m"&amp;CHAR(10)&amp;"Optimal Ratio"</f>
        <v>#5  23.4m
Optimal Ratio</v>
      </c>
      <c r="G21" s="256" t="str">
        <f aca="false">"#"&amp;1&amp;"  "&amp;Calculator!$B$29&amp;"m"&amp;CHAR(10)&amp;"Best VSWR"</f>
        <v>#1  13.3m
Best VSWR</v>
      </c>
      <c r="H21" s="256" t="str">
        <f aca="false">"#"&amp;2&amp;"  "&amp;Calculator!$B$30&amp;"m"&amp;CHAR(10)&amp;"Best VSWR"</f>
        <v>#2  13.4m
Best VSWR</v>
      </c>
      <c r="I21" s="256" t="str">
        <f aca="false">"#"&amp;3&amp;"  "&amp;Calculator!$B$31&amp;"m"&amp;CHAR(10)&amp;"Best VSWR"</f>
        <v>#3  13.2m
Best VSWR</v>
      </c>
      <c r="J21" s="256" t="str">
        <f aca="false">"#"&amp;4&amp;"  "&amp;Calculator!$B$32&amp;"m"&amp;CHAR(10)&amp;"Best VSWR"</f>
        <v>#4  23.3m
Best VSWR</v>
      </c>
      <c r="K21" s="256" t="str">
        <f aca="false">"#"&amp;5&amp;"  "&amp;Calculator!$B$33&amp;"m"&amp;CHAR(10)&amp;"Best VSWR"</f>
        <v>#5  23.4m
Best VSWR</v>
      </c>
      <c r="L21" s="254"/>
      <c r="M21" s="254"/>
      <c r="N21" s="254"/>
      <c r="O21" s="254"/>
      <c r="P21" s="254"/>
      <c r="Q21" s="254"/>
      <c r="R21" s="254"/>
      <c r="S21" s="254"/>
      <c r="T21" s="254"/>
      <c r="U21" s="254"/>
      <c r="V21" s="254"/>
      <c r="W21" s="254"/>
      <c r="X21" s="254"/>
      <c r="Y21" s="254"/>
      <c r="Z21" s="254"/>
      <c r="AA21" s="254"/>
      <c r="AB21" s="254"/>
      <c r="AC21" s="254"/>
      <c r="AD21" s="254"/>
      <c r="AE21" s="254"/>
      <c r="AF21" s="254"/>
      <c r="AG21" s="254"/>
      <c r="AH21" s="254"/>
      <c r="AI21" s="254"/>
      <c r="AJ21" s="254"/>
      <c r="AK21" s="254"/>
      <c r="AL21" s="254"/>
    </row>
    <row r="22" customFormat="false" ht="15" hidden="false" customHeight="true" outlineLevel="0" collapsed="false">
      <c r="A22" s="257" t="str">
        <f aca="false">IF(Calculator!$E$12="YES","★ "&amp;"160m","160m")</f>
        <v>160m</v>
      </c>
      <c r="B22" s="257" t="str">
        <f aca="false">IF(Calculator!$E$12&lt;&gt;"YES","—",IFERROR(INDEX($A$38:$A$103,MATCH(MIN(D38:D103),D38:D103,0)),"—"))</f>
        <v>—</v>
      </c>
      <c r="C22" s="257" t="str">
        <f aca="false">IF(Calculator!$E$12&lt;&gt;"YES","—",IFERROR(INDEX($A$38:$A$103,MATCH(MIN(P38:P103),P38:P103,0)),"—"))</f>
        <v>—</v>
      </c>
      <c r="D22" s="257" t="str">
        <f aca="false">IF(Calculator!$E$12&lt;&gt;"YES","—",IFERROR(INDEX($A$38:$A$103,MATCH(MIN(AB38:AB103),AB38:AB103,0)),"—"))</f>
        <v>—</v>
      </c>
      <c r="E22" s="257" t="str">
        <f aca="false">IF(Calculator!$E$12&lt;&gt;"YES","—",IFERROR(INDEX($A$38:$A$103,MATCH(MIN(AN38:AN103),AN38:AN103,0)),"—"))</f>
        <v>—</v>
      </c>
      <c r="F22" s="257" t="str">
        <f aca="false">IF(Calculator!$E$12&lt;&gt;"YES","—",IFERROR(INDEX($A$38:$A$103,MATCH(MIN(AZ38:AZ103),AZ38:AZ103,0)),"—"))</f>
        <v>—</v>
      </c>
      <c r="G22" s="257" t="str">
        <f aca="false">IF(Calculator!$E$12&lt;&gt;"YES","—",IFERROR(ROUND(MIN(D38:D103),2),"—"))</f>
        <v>—</v>
      </c>
      <c r="H22" s="257" t="str">
        <f aca="false">IF(Calculator!$E$12&lt;&gt;"YES","—",IFERROR(ROUND(MIN(P38:P103),2),"—"))</f>
        <v>—</v>
      </c>
      <c r="I22" s="257" t="str">
        <f aca="false">IF(Calculator!$E$12&lt;&gt;"YES","—",IFERROR(ROUND(MIN(AB38:AB103),2),"—"))</f>
        <v>—</v>
      </c>
      <c r="J22" s="257" t="str">
        <f aca="false">IF(Calculator!$E$12&lt;&gt;"YES","—",IFERROR(ROUND(MIN(AN38:AN103),2),"—"))</f>
        <v>—</v>
      </c>
      <c r="K22" s="257" t="str">
        <f aca="false">IF(Calculator!$E$12&lt;&gt;"YES","—",IFERROR(ROUND(MIN(AZ38:AZ103),2),"—"))</f>
        <v>—</v>
      </c>
      <c r="L22" s="254"/>
      <c r="M22" s="254"/>
      <c r="N22" s="254"/>
      <c r="O22" s="254"/>
      <c r="P22" s="254"/>
      <c r="Q22" s="254"/>
      <c r="R22" s="254"/>
      <c r="S22" s="254"/>
      <c r="T22" s="254"/>
      <c r="U22" s="254"/>
      <c r="V22" s="254"/>
      <c r="W22" s="254"/>
      <c r="X22" s="254"/>
      <c r="Y22" s="254"/>
      <c r="Z22" s="254"/>
      <c r="AA22" s="254"/>
      <c r="AB22" s="254"/>
      <c r="AC22" s="254"/>
      <c r="AD22" s="254"/>
      <c r="AE22" s="254"/>
      <c r="AF22" s="254"/>
      <c r="AG22" s="254"/>
      <c r="AH22" s="254"/>
      <c r="AI22" s="254"/>
      <c r="AJ22" s="254"/>
      <c r="AK22" s="254"/>
      <c r="AL22" s="254"/>
    </row>
    <row r="23" customFormat="false" ht="15" hidden="false" customHeight="true" outlineLevel="0" collapsed="false">
      <c r="A23" s="257" t="str">
        <f aca="false">IF(Calculator!$E$13="YES","★ "&amp;"80m","80m")</f>
        <v>80m</v>
      </c>
      <c r="B23" s="257" t="str">
        <f aca="false">IF(Calculator!$E$13&lt;&gt;"YES","—",IFERROR(INDEX($A$38:$A$103,MATCH(MIN(E38:E103),E38:E103,0)),"—"))</f>
        <v>—</v>
      </c>
      <c r="C23" s="257" t="str">
        <f aca="false">IF(Calculator!$E$13&lt;&gt;"YES","—",IFERROR(INDEX($A$38:$A$103,MATCH(MIN(Q38:Q103),Q38:Q103,0)),"—"))</f>
        <v>—</v>
      </c>
      <c r="D23" s="257" t="str">
        <f aca="false">IF(Calculator!$E$13&lt;&gt;"YES","—",IFERROR(INDEX($A$38:$A$103,MATCH(MIN(AC38:AC103),AC38:AC103,0)),"—"))</f>
        <v>—</v>
      </c>
      <c r="E23" s="257" t="str">
        <f aca="false">IF(Calculator!$E$13&lt;&gt;"YES","—",IFERROR(INDEX($A$38:$A$103,MATCH(MIN(AO38:AO103),AO38:AO103,0)),"—"))</f>
        <v>—</v>
      </c>
      <c r="F23" s="257" t="str">
        <f aca="false">IF(Calculator!$E$13&lt;&gt;"YES","—",IFERROR(INDEX($A$38:$A$103,MATCH(MIN(BA38:BA103),BA38:BA103,0)),"—"))</f>
        <v>—</v>
      </c>
      <c r="G23" s="257" t="str">
        <f aca="false">IF(Calculator!$E$13&lt;&gt;"YES","—",IFERROR(ROUND(MIN(E38:E103),2),"—"))</f>
        <v>—</v>
      </c>
      <c r="H23" s="257" t="str">
        <f aca="false">IF(Calculator!$E$13&lt;&gt;"YES","—",IFERROR(ROUND(MIN(Q38:Q103),2),"—"))</f>
        <v>—</v>
      </c>
      <c r="I23" s="257" t="str">
        <f aca="false">IF(Calculator!$E$13&lt;&gt;"YES","—",IFERROR(ROUND(MIN(AC38:AC103),2),"—"))</f>
        <v>—</v>
      </c>
      <c r="J23" s="257" t="str">
        <f aca="false">IF(Calculator!$E$13&lt;&gt;"YES","—",IFERROR(ROUND(MIN(AO38:AO103),2),"—"))</f>
        <v>—</v>
      </c>
      <c r="K23" s="257" t="str">
        <f aca="false">IF(Calculator!$E$13&lt;&gt;"YES","—",IFERROR(ROUND(MIN(BA38:BA103),2),"—"))</f>
        <v>—</v>
      </c>
      <c r="L23" s="254"/>
      <c r="M23" s="254"/>
      <c r="N23" s="254"/>
      <c r="O23" s="254"/>
      <c r="P23" s="254"/>
      <c r="Q23" s="254"/>
      <c r="R23" s="254"/>
      <c r="S23" s="254"/>
      <c r="T23" s="254"/>
      <c r="U23" s="254"/>
      <c r="V23" s="254"/>
      <c r="W23" s="254"/>
      <c r="X23" s="254"/>
      <c r="Y23" s="254"/>
      <c r="Z23" s="254"/>
      <c r="AA23" s="254"/>
      <c r="AB23" s="254"/>
      <c r="AC23" s="254"/>
      <c r="AD23" s="254"/>
      <c r="AE23" s="254"/>
      <c r="AF23" s="254"/>
      <c r="AG23" s="254"/>
      <c r="AH23" s="254"/>
      <c r="AI23" s="254"/>
      <c r="AJ23" s="254"/>
      <c r="AK23" s="254"/>
      <c r="AL23" s="254"/>
    </row>
    <row r="24" customFormat="false" ht="15" hidden="false" customHeight="true" outlineLevel="0" collapsed="false">
      <c r="A24" s="257" t="str">
        <f aca="false">IF(Calculator!$E$14="YES","★ "&amp;"60m","60m")</f>
        <v>60m</v>
      </c>
      <c r="B24" s="257" t="str">
        <f aca="false">IF(Calculator!$E$14&lt;&gt;"YES","—",IFERROR(INDEX($A$38:$A$103,MATCH(MIN(F38:F103),F38:F103,0)),"—"))</f>
        <v>—</v>
      </c>
      <c r="C24" s="257" t="str">
        <f aca="false">IF(Calculator!$E$14&lt;&gt;"YES","—",IFERROR(INDEX($A$38:$A$103,MATCH(MIN(R38:R103),R38:R103,0)),"—"))</f>
        <v>—</v>
      </c>
      <c r="D24" s="257" t="str">
        <f aca="false">IF(Calculator!$E$14&lt;&gt;"YES","—",IFERROR(INDEX($A$38:$A$103,MATCH(MIN(AD38:AD103),AD38:AD103,0)),"—"))</f>
        <v>—</v>
      </c>
      <c r="E24" s="257" t="str">
        <f aca="false">IF(Calculator!$E$14&lt;&gt;"YES","—",IFERROR(INDEX($A$38:$A$103,MATCH(MIN(AP38:AP103),AP38:AP103,0)),"—"))</f>
        <v>—</v>
      </c>
      <c r="F24" s="257" t="str">
        <f aca="false">IF(Calculator!$E$14&lt;&gt;"YES","—",IFERROR(INDEX($A$38:$A$103,MATCH(MIN(BB38:BB103),BB38:BB103,0)),"—"))</f>
        <v>—</v>
      </c>
      <c r="G24" s="257" t="str">
        <f aca="false">IF(Calculator!$E$14&lt;&gt;"YES","—",IFERROR(ROUND(MIN(F38:F103),2),"—"))</f>
        <v>—</v>
      </c>
      <c r="H24" s="257" t="str">
        <f aca="false">IF(Calculator!$E$14&lt;&gt;"YES","—",IFERROR(ROUND(MIN(R38:R103),2),"—"))</f>
        <v>—</v>
      </c>
      <c r="I24" s="257" t="str">
        <f aca="false">IF(Calculator!$E$14&lt;&gt;"YES","—",IFERROR(ROUND(MIN(AD38:AD103),2),"—"))</f>
        <v>—</v>
      </c>
      <c r="J24" s="257" t="str">
        <f aca="false">IF(Calculator!$E$14&lt;&gt;"YES","—",IFERROR(ROUND(MIN(AP38:AP103),2),"—"))</f>
        <v>—</v>
      </c>
      <c r="K24" s="257" t="str">
        <f aca="false">IF(Calculator!$E$14&lt;&gt;"YES","—",IFERROR(ROUND(MIN(BB38:BB103),2),"—"))</f>
        <v>—</v>
      </c>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row>
    <row r="25" customFormat="false" ht="15" hidden="false" customHeight="true" outlineLevel="0" collapsed="false">
      <c r="A25" s="257" t="str">
        <f aca="false">IF(Calculator!$E$15="YES","★ "&amp;"40m","40m")</f>
        <v>★ 40m</v>
      </c>
      <c r="B25" s="257" t="str">
        <f aca="false">IF(Calculator!$E$15&lt;&gt;"YES","—",IFERROR(INDEX($A$38:$A$103,MATCH(MIN(G38:G103),G38:G103,0)),"—"))</f>
        <v>26:1</v>
      </c>
      <c r="C25" s="257" t="str">
        <f aca="false">IF(Calculator!$E$15&lt;&gt;"YES","—",IFERROR(INDEX($A$38:$A$103,MATCH(MIN(S38:S103),S38:S103,0)),"—"))</f>
        <v>26:1</v>
      </c>
      <c r="D25" s="257" t="str">
        <f aca="false">IF(Calculator!$E$15&lt;&gt;"YES","—",IFERROR(INDEX($A$38:$A$103,MATCH(MIN(AE38:AE103),AE38:AE103,0)),"—"))</f>
        <v>26:1</v>
      </c>
      <c r="E25" s="257" t="str">
        <f aca="false">IF(Calculator!$E$15&lt;&gt;"YES","—",IFERROR(INDEX($A$38:$A$103,MATCH(MIN(AQ38:AQ103),AQ38:AQ103,0)),"—"))</f>
        <v>35:1</v>
      </c>
      <c r="F25" s="257" t="str">
        <f aca="false">IF(Calculator!$E$15&lt;&gt;"YES","—",IFERROR(INDEX($A$38:$A$103,MATCH(MIN(BC38:BC103),BC38:BC103,0)),"—"))</f>
        <v>35:1</v>
      </c>
      <c r="G25" s="257" t="n">
        <f aca="false">IF(Calculator!$E$15&lt;&gt;"YES","—",IFERROR(ROUND(MIN(G38:G103),2),"—"))</f>
        <v>17.34</v>
      </c>
      <c r="H25" s="257" t="n">
        <f aca="false">IF(Calculator!$E$15&lt;&gt;"YES","—",IFERROR(ROUND(MIN(S38:S103),2),"—"))</f>
        <v>16.61</v>
      </c>
      <c r="I25" s="257" t="n">
        <f aca="false">IF(Calculator!$E$15&lt;&gt;"YES","—",IFERROR(ROUND(MIN(AE38:AE103),2),"—"))</f>
        <v>18.05</v>
      </c>
      <c r="J25" s="257" t="n">
        <f aca="false">IF(Calculator!$E$15&lt;&gt;"YES","—",IFERROR(ROUND(MIN(AQ38:AQ103),2),"—"))</f>
        <v>2.43</v>
      </c>
      <c r="K25" s="257" t="n">
        <f aca="false">IF(Calculator!$E$15&lt;&gt;"YES","—",IFERROR(ROUND(MIN(BC38:BC103),2),"—"))</f>
        <v>2.57</v>
      </c>
      <c r="L25" s="254"/>
      <c r="M25" s="254"/>
      <c r="N25" s="254"/>
      <c r="O25" s="254"/>
      <c r="P25" s="254"/>
      <c r="Q25" s="254"/>
      <c r="R25" s="254"/>
      <c r="S25" s="254"/>
      <c r="T25" s="254"/>
      <c r="U25" s="254"/>
      <c r="V25" s="254"/>
      <c r="W25" s="254"/>
      <c r="X25" s="254"/>
      <c r="Y25" s="254"/>
      <c r="Z25" s="254"/>
      <c r="AA25" s="254"/>
      <c r="AB25" s="254"/>
      <c r="AC25" s="254"/>
      <c r="AD25" s="254"/>
      <c r="AE25" s="254"/>
      <c r="AF25" s="254"/>
      <c r="AG25" s="254"/>
      <c r="AH25" s="254"/>
      <c r="AI25" s="254"/>
      <c r="AJ25" s="254"/>
      <c r="AK25" s="254"/>
      <c r="AL25" s="254"/>
    </row>
    <row r="26" customFormat="false" ht="15" hidden="false" customHeight="true" outlineLevel="0" collapsed="false">
      <c r="A26" s="257" t="str">
        <f aca="false">IF(Calculator!$E$16="YES","★ "&amp;"30m","30m")</f>
        <v>30m</v>
      </c>
      <c r="B26" s="257" t="str">
        <f aca="false">IF(Calculator!$E$16&lt;&gt;"YES","—",IFERROR(INDEX($A$38:$A$103,MATCH(MIN(H38:H103),H38:H103,0)),"—"))</f>
        <v>—</v>
      </c>
      <c r="C26" s="257" t="str">
        <f aca="false">IF(Calculator!$E$16&lt;&gt;"YES","—",IFERROR(INDEX($A$38:$A$103,MATCH(MIN(T38:T103),T38:T103,0)),"—"))</f>
        <v>—</v>
      </c>
      <c r="D26" s="257" t="str">
        <f aca="false">IF(Calculator!$E$16&lt;&gt;"YES","—",IFERROR(INDEX($A$38:$A$103,MATCH(MIN(AF38:AF103),AF38:AF103,0)),"—"))</f>
        <v>—</v>
      </c>
      <c r="E26" s="257" t="str">
        <f aca="false">IF(Calculator!$E$16&lt;&gt;"YES","—",IFERROR(INDEX($A$38:$A$103,MATCH(MIN(AR38:AR103),AR38:AR103,0)),"—"))</f>
        <v>—</v>
      </c>
      <c r="F26" s="257" t="str">
        <f aca="false">IF(Calculator!$E$16&lt;&gt;"YES","—",IFERROR(INDEX($A$38:$A$103,MATCH(MIN(BD38:BD103),BD38:BD103,0)),"—"))</f>
        <v>—</v>
      </c>
      <c r="G26" s="257" t="str">
        <f aca="false">IF(Calculator!$E$16&lt;&gt;"YES","—",IFERROR(ROUND(MIN(H38:H103),2),"—"))</f>
        <v>—</v>
      </c>
      <c r="H26" s="257" t="str">
        <f aca="false">IF(Calculator!$E$16&lt;&gt;"YES","—",IFERROR(ROUND(MIN(T38:T103),2),"—"))</f>
        <v>—</v>
      </c>
      <c r="I26" s="257" t="str">
        <f aca="false">IF(Calculator!$E$16&lt;&gt;"YES","—",IFERROR(ROUND(MIN(AF38:AF103),2),"—"))</f>
        <v>—</v>
      </c>
      <c r="J26" s="257" t="str">
        <f aca="false">IF(Calculator!$E$16&lt;&gt;"YES","—",IFERROR(ROUND(MIN(AR38:AR103),2),"—"))</f>
        <v>—</v>
      </c>
      <c r="K26" s="257" t="str">
        <f aca="false">IF(Calculator!$E$16&lt;&gt;"YES","—",IFERROR(ROUND(MIN(BD38:BD103),2),"—"))</f>
        <v>—</v>
      </c>
      <c r="L26" s="254"/>
      <c r="M26" s="254"/>
      <c r="N26" s="254"/>
      <c r="O26" s="254"/>
      <c r="P26" s="254"/>
      <c r="Q26" s="254"/>
      <c r="R26" s="254"/>
      <c r="S26" s="254"/>
      <c r="T26" s="254"/>
      <c r="U26" s="254"/>
      <c r="V26" s="254"/>
      <c r="W26" s="254"/>
      <c r="X26" s="254"/>
      <c r="Y26" s="254"/>
      <c r="Z26" s="254"/>
      <c r="AA26" s="254"/>
      <c r="AB26" s="254"/>
      <c r="AC26" s="254"/>
      <c r="AD26" s="254"/>
      <c r="AE26" s="254"/>
      <c r="AF26" s="254"/>
      <c r="AG26" s="254"/>
      <c r="AH26" s="254"/>
      <c r="AI26" s="254"/>
      <c r="AJ26" s="254"/>
      <c r="AK26" s="254"/>
      <c r="AL26" s="254"/>
    </row>
    <row r="27" customFormat="false" ht="15" hidden="false" customHeight="true" outlineLevel="0" collapsed="false">
      <c r="A27" s="257" t="str">
        <f aca="false">IF(Calculator!$E$17="YES","★ "&amp;"20m","20m")</f>
        <v>★ 20m</v>
      </c>
      <c r="B27" s="257" t="str">
        <f aca="false">IF(Calculator!$E$17&lt;&gt;"YES","—",IFERROR(INDEX($A$38:$A$103,MATCH(MIN(I38:I103),I38:I103,0)),"—"))</f>
        <v>27:1</v>
      </c>
      <c r="C27" s="257" t="str">
        <f aca="false">IF(Calculator!$E$17&lt;&gt;"YES","—",IFERROR(INDEX($A$38:$A$103,MATCH(MIN(U38:U103),U38:U103,0)),"—"))</f>
        <v>26:1</v>
      </c>
      <c r="D27" s="257" t="str">
        <f aca="false">IF(Calculator!$E$17&lt;&gt;"YES","—",IFERROR(INDEX($A$38:$A$103,MATCH(MIN(AG38:AG103),AG38:AG103,0)),"—"))</f>
        <v>28:1</v>
      </c>
      <c r="E27" s="257" t="str">
        <f aca="false">IF(Calculator!$E$17&lt;&gt;"YES","—",IFERROR(INDEX($A$38:$A$103,MATCH(MIN(AS38:AS103),AS38:AS103,0)),"—"))</f>
        <v>28:1</v>
      </c>
      <c r="F27" s="257" t="str">
        <f aca="false">IF(Calculator!$E$17&lt;&gt;"YES","—",IFERROR(INDEX($A$38:$A$103,MATCH(MIN(BE38:BE103),BE38:BE103,0)),"—"))</f>
        <v>26:1</v>
      </c>
      <c r="G27" s="257" t="n">
        <f aca="false">IF(Calculator!$E$17&lt;&gt;"YES","—",IFERROR(ROUND(MIN(I38:I103),2),"—"))</f>
        <v>15.93</v>
      </c>
      <c r="H27" s="257" t="n">
        <f aca="false">IF(Calculator!$E$17&lt;&gt;"YES","—",IFERROR(ROUND(MIN(U38:U103),2),"—"))</f>
        <v>17.38</v>
      </c>
      <c r="I27" s="257" t="n">
        <f aca="false">IF(Calculator!$E$17&lt;&gt;"YES","—",IFERROR(ROUND(MIN(AG38:AG103),2),"—"))</f>
        <v>14.48</v>
      </c>
      <c r="J27" s="257" t="n">
        <f aca="false">IF(Calculator!$E$17&lt;&gt;"YES","—",IFERROR(ROUND(MIN(AS38:AS103),2),"—"))</f>
        <v>15.16</v>
      </c>
      <c r="K27" s="257" t="n">
        <f aca="false">IF(Calculator!$E$17&lt;&gt;"YES","—",IFERROR(ROUND(MIN(BE38:BE103),2),"—"))</f>
        <v>16.62</v>
      </c>
      <c r="L27" s="254"/>
      <c r="M27" s="254"/>
      <c r="N27" s="254"/>
      <c r="O27" s="254"/>
      <c r="P27" s="254"/>
      <c r="Q27" s="254"/>
      <c r="R27" s="254"/>
      <c r="S27" s="254"/>
      <c r="T27" s="254"/>
      <c r="U27" s="254"/>
      <c r="V27" s="254"/>
      <c r="W27" s="254"/>
      <c r="X27" s="254"/>
      <c r="Y27" s="254"/>
      <c r="Z27" s="254"/>
      <c r="AA27" s="254"/>
      <c r="AB27" s="254"/>
      <c r="AC27" s="254"/>
      <c r="AD27" s="254"/>
      <c r="AE27" s="254"/>
      <c r="AF27" s="254"/>
      <c r="AG27" s="254"/>
      <c r="AH27" s="254"/>
      <c r="AI27" s="254"/>
      <c r="AJ27" s="254"/>
      <c r="AK27" s="254"/>
      <c r="AL27" s="254"/>
    </row>
    <row r="28" customFormat="false" ht="15" hidden="false" customHeight="true" outlineLevel="0" collapsed="false">
      <c r="A28" s="257" t="str">
        <f aca="false">IF(Calculator!$E$18="YES","★ "&amp;"17m","17m")</f>
        <v>17m</v>
      </c>
      <c r="B28" s="257" t="str">
        <f aca="false">IF(Calculator!$E$18&lt;&gt;"YES","—",IFERROR(INDEX($A$38:$A$103,MATCH(MIN(J38:J103),J38:J103,0)),"—"))</f>
        <v>—</v>
      </c>
      <c r="C28" s="261" t="str">
        <f aca="false">IF(Calculator!$E$18&lt;&gt;"YES","—",IFERROR(INDEX($A$38:$A$103,MATCH(MIN(V38:V103),V38:V103,0)),"—"))</f>
        <v>—</v>
      </c>
      <c r="D28" s="262" t="str">
        <f aca="false">IF(Calculator!$E$18&lt;&gt;"YES","—",IFERROR(INDEX($A$38:$A$103,MATCH(MIN(AH38:AH103),AH38:AH103,0)),"—"))</f>
        <v>—</v>
      </c>
      <c r="E28" s="262" t="str">
        <f aca="false">IF(Calculator!$E$18&lt;&gt;"YES","—",IFERROR(INDEX($A$38:$A$103,MATCH(MIN(AT38:AT103),AT38:AT103,0)),"—"))</f>
        <v>—</v>
      </c>
      <c r="F28" s="262" t="str">
        <f aca="false">IF(Calculator!$E$18&lt;&gt;"YES","—",IFERROR(INDEX($A$38:$A$103,MATCH(MIN(BF38:BF103),BF38:BF103,0)),"—"))</f>
        <v>—</v>
      </c>
      <c r="G28" s="262" t="str">
        <f aca="false">IF(Calculator!$E$18&lt;&gt;"YES","—",IFERROR(ROUND(MIN(J38:J103),2),"—"))</f>
        <v>—</v>
      </c>
      <c r="H28" s="262" t="str">
        <f aca="false">IF(Calculator!$E$18&lt;&gt;"YES","—",IFERROR(ROUND(MIN(V38:V103),2),"—"))</f>
        <v>—</v>
      </c>
      <c r="I28" s="262" t="str">
        <f aca="false">IF(Calculator!$E$18&lt;&gt;"YES","—",IFERROR(ROUND(MIN(AH38:AH103),2),"—"))</f>
        <v>—</v>
      </c>
      <c r="J28" s="262" t="str">
        <f aca="false">IF(Calculator!$E$18&lt;&gt;"YES","—",IFERROR(ROUND(MIN(AT38:AT103),2),"—"))</f>
        <v>—</v>
      </c>
      <c r="K28" s="262" t="str">
        <f aca="false">IF(Calculator!$E$18&lt;&gt;"YES","—",IFERROR(ROUND(MIN(BF38:BF103),2),"—"))</f>
        <v>—</v>
      </c>
      <c r="L28" s="263"/>
      <c r="M28" s="263"/>
      <c r="N28" s="263"/>
      <c r="O28" s="263"/>
      <c r="P28" s="263"/>
      <c r="Q28" s="263"/>
      <c r="R28" s="263"/>
      <c r="S28" s="263"/>
      <c r="T28" s="263"/>
      <c r="U28" s="263"/>
      <c r="V28" s="263"/>
      <c r="W28" s="263"/>
      <c r="X28" s="263"/>
      <c r="Y28" s="263"/>
      <c r="Z28" s="263"/>
      <c r="AA28" s="263"/>
      <c r="AB28" s="263"/>
      <c r="AC28" s="263"/>
      <c r="AD28" s="263"/>
      <c r="AE28" s="263"/>
      <c r="AF28" s="263"/>
      <c r="AG28" s="263"/>
      <c r="AH28" s="263"/>
      <c r="AI28" s="263"/>
      <c r="AJ28" s="263"/>
      <c r="AK28" s="263"/>
      <c r="AL28" s="263"/>
    </row>
    <row r="29" customFormat="false" ht="15" hidden="false" customHeight="true" outlineLevel="0" collapsed="false">
      <c r="A29" s="257" t="str">
        <f aca="false">IF(Calculator!$E$19="YES","★ "&amp;"15m","15m")</f>
        <v>15m</v>
      </c>
      <c r="B29" s="257" t="str">
        <f aca="false">IF(Calculator!$E$19&lt;&gt;"YES","—",IFERROR(INDEX($A$38:$A$103,MATCH(MIN(K38:K103),K38:K103,0)),"—"))</f>
        <v>—</v>
      </c>
      <c r="C29" s="261" t="str">
        <f aca="false">IF(Calculator!$E$19&lt;&gt;"YES","—",IFERROR(INDEX($A$38:$A$103,MATCH(MIN(W38:W103),W38:W103,0)),"—"))</f>
        <v>—</v>
      </c>
      <c r="D29" s="262" t="str">
        <f aca="false">IF(Calculator!$E$19&lt;&gt;"YES","—",IFERROR(INDEX($A$38:$A$103,MATCH(MIN(AI38:AI103),AI38:AI103,0)),"—"))</f>
        <v>—</v>
      </c>
      <c r="E29" s="262" t="str">
        <f aca="false">IF(Calculator!$E$19&lt;&gt;"YES","—",IFERROR(INDEX($A$38:$A$103,MATCH(MIN(AU38:AU103),AU38:AU103,0)),"—"))</f>
        <v>—</v>
      </c>
      <c r="F29" s="262" t="str">
        <f aca="false">IF(Calculator!$E$19&lt;&gt;"YES","—",IFERROR(INDEX($A$38:$A$103,MATCH(MIN(BG38:BG103),BG38:BG103,0)),"—"))</f>
        <v>—</v>
      </c>
      <c r="G29" s="262" t="str">
        <f aca="false">IF(Calculator!$E$19&lt;&gt;"YES","—",IFERROR(ROUND(MIN(K38:K103),2),"—"))</f>
        <v>—</v>
      </c>
      <c r="H29" s="262" t="str">
        <f aca="false">IF(Calculator!$E$19&lt;&gt;"YES","—",IFERROR(ROUND(MIN(W38:W103),2),"—"))</f>
        <v>—</v>
      </c>
      <c r="I29" s="262" t="str">
        <f aca="false">IF(Calculator!$E$19&lt;&gt;"YES","—",IFERROR(ROUND(MIN(AI38:AI103),2),"—"))</f>
        <v>—</v>
      </c>
      <c r="J29" s="262" t="str">
        <f aca="false">IF(Calculator!$E$19&lt;&gt;"YES","—",IFERROR(ROUND(MIN(AU38:AU103),2),"—"))</f>
        <v>—</v>
      </c>
      <c r="K29" s="262" t="str">
        <f aca="false">IF(Calculator!$E$19&lt;&gt;"YES","—",IFERROR(ROUND(MIN(BG38:BG103),2),"—"))</f>
        <v>—</v>
      </c>
      <c r="L29" s="263"/>
      <c r="M29" s="263"/>
      <c r="N29" s="263"/>
      <c r="O29" s="263"/>
      <c r="P29" s="263"/>
      <c r="Q29" s="263"/>
      <c r="R29" s="263"/>
      <c r="S29" s="263"/>
      <c r="T29" s="263"/>
      <c r="U29" s="263"/>
      <c r="V29" s="263"/>
      <c r="W29" s="263"/>
      <c r="X29" s="263"/>
      <c r="Y29" s="263"/>
      <c r="Z29" s="263"/>
      <c r="AA29" s="263"/>
      <c r="AB29" s="263"/>
      <c r="AC29" s="263"/>
      <c r="AD29" s="263"/>
      <c r="AE29" s="263"/>
      <c r="AF29" s="263"/>
      <c r="AG29" s="263"/>
      <c r="AH29" s="263"/>
      <c r="AI29" s="263"/>
      <c r="AJ29" s="263"/>
      <c r="AK29" s="263"/>
      <c r="AL29" s="263"/>
    </row>
    <row r="30" customFormat="false" ht="15" hidden="false" customHeight="true" outlineLevel="0" collapsed="false">
      <c r="A30" s="257" t="str">
        <f aca="false">IF(Calculator!$E$20="YES","★ "&amp;"12m","12m")</f>
        <v>12m</v>
      </c>
      <c r="B30" s="257" t="str">
        <f aca="false">IF(Calculator!$E$20&lt;&gt;"YES","—",IFERROR(INDEX($A$38:$A$103,MATCH(MIN(L38:L103),L38:L103,0)),"—"))</f>
        <v>—</v>
      </c>
      <c r="C30" s="261" t="str">
        <f aca="false">IF(Calculator!$E$20&lt;&gt;"YES","—",IFERROR(INDEX($A$38:$A$103,MATCH(MIN(X38:X103),X38:X103,0)),"—"))</f>
        <v>—</v>
      </c>
      <c r="D30" s="262" t="str">
        <f aca="false">IF(Calculator!$E$20&lt;&gt;"YES","—",IFERROR(INDEX($A$38:$A$103,MATCH(MIN(AJ38:AJ103),AJ38:AJ103,0)),"—"))</f>
        <v>—</v>
      </c>
      <c r="E30" s="262" t="str">
        <f aca="false">IF(Calculator!$E$20&lt;&gt;"YES","—",IFERROR(INDEX($A$38:$A$103,MATCH(MIN(AV38:AV103),AV38:AV103,0)),"—"))</f>
        <v>—</v>
      </c>
      <c r="F30" s="262" t="str">
        <f aca="false">IF(Calculator!$E$20&lt;&gt;"YES","—",IFERROR(INDEX($A$38:$A$103,MATCH(MIN(BH38:BH103),BH38:BH103,0)),"—"))</f>
        <v>—</v>
      </c>
      <c r="G30" s="262" t="str">
        <f aca="false">IF(Calculator!$E$20&lt;&gt;"YES","—",IFERROR(ROUND(MIN(L38:L103),2),"—"))</f>
        <v>—</v>
      </c>
      <c r="H30" s="262" t="str">
        <f aca="false">IF(Calculator!$E$20&lt;&gt;"YES","—",IFERROR(ROUND(MIN(X38:X103),2),"—"))</f>
        <v>—</v>
      </c>
      <c r="I30" s="262" t="str">
        <f aca="false">IF(Calculator!$E$20&lt;&gt;"YES","—",IFERROR(ROUND(MIN(AJ38:AJ103),2),"—"))</f>
        <v>—</v>
      </c>
      <c r="J30" s="262" t="str">
        <f aca="false">IF(Calculator!$E$20&lt;&gt;"YES","—",IFERROR(ROUND(MIN(AV38:AV103),2),"—"))</f>
        <v>—</v>
      </c>
      <c r="K30" s="262" t="str">
        <f aca="false">IF(Calculator!$E$20&lt;&gt;"YES","—",IFERROR(ROUND(MIN(BH38:BH103),2),"—"))</f>
        <v>—</v>
      </c>
      <c r="L30" s="263"/>
      <c r="M30" s="263"/>
      <c r="N30" s="263"/>
      <c r="O30" s="263"/>
      <c r="P30" s="263"/>
      <c r="Q30" s="263"/>
      <c r="R30" s="263"/>
      <c r="S30" s="263"/>
      <c r="T30" s="263"/>
      <c r="U30" s="263"/>
      <c r="V30" s="263"/>
      <c r="W30" s="263"/>
      <c r="X30" s="263"/>
      <c r="Y30" s="263"/>
      <c r="Z30" s="263"/>
      <c r="AA30" s="263"/>
      <c r="AB30" s="263"/>
      <c r="AC30" s="263"/>
      <c r="AD30" s="263"/>
      <c r="AE30" s="263"/>
      <c r="AF30" s="263"/>
      <c r="AG30" s="263"/>
      <c r="AH30" s="263"/>
      <c r="AI30" s="263"/>
      <c r="AJ30" s="263"/>
      <c r="AK30" s="263"/>
      <c r="AL30" s="263"/>
    </row>
    <row r="31" customFormat="false" ht="15" hidden="false" customHeight="true" outlineLevel="0" collapsed="false">
      <c r="A31" s="257" t="str">
        <f aca="false">IF(Calculator!$E$21="YES","★ "&amp;"10m","10m")</f>
        <v>10m</v>
      </c>
      <c r="B31" s="257" t="str">
        <f aca="false">IF(Calculator!$E$21&lt;&gt;"YES","—",IFERROR(INDEX($A$38:$A$103,MATCH(MIN(M38:M103),M38:M103,0)),"—"))</f>
        <v>—</v>
      </c>
      <c r="C31" s="261" t="str">
        <f aca="false">IF(Calculator!$E$21&lt;&gt;"YES","—",IFERROR(INDEX($A$38:$A$103,MATCH(MIN(Y38:Y103),Y38:Y103,0)),"—"))</f>
        <v>—</v>
      </c>
      <c r="D31" s="262" t="str">
        <f aca="false">IF(Calculator!$E$21&lt;&gt;"YES","—",IFERROR(INDEX($A$38:$A$103,MATCH(MIN(AK38:AK103),AK38:AK103,0)),"—"))</f>
        <v>—</v>
      </c>
      <c r="E31" s="262" t="str">
        <f aca="false">IF(Calculator!$E$21&lt;&gt;"YES","—",IFERROR(INDEX($A$38:$A$103,MATCH(MIN(AW38:AW103),AW38:AW103,0)),"—"))</f>
        <v>—</v>
      </c>
      <c r="F31" s="262" t="str">
        <f aca="false">IF(Calculator!$E$21&lt;&gt;"YES","—",IFERROR(INDEX($A$38:$A$103,MATCH(MIN(BI38:BI103),BI38:BI103,0)),"—"))</f>
        <v>—</v>
      </c>
      <c r="G31" s="262" t="str">
        <f aca="false">IF(Calculator!$E$21&lt;&gt;"YES","—",IFERROR(ROUND(MIN(M38:M103),2),"—"))</f>
        <v>—</v>
      </c>
      <c r="H31" s="262" t="str">
        <f aca="false">IF(Calculator!$E$21&lt;&gt;"YES","—",IFERROR(ROUND(MIN(Y38:Y103),2),"—"))</f>
        <v>—</v>
      </c>
      <c r="I31" s="262" t="str">
        <f aca="false">IF(Calculator!$E$21&lt;&gt;"YES","—",IFERROR(ROUND(MIN(AK38:AK103),2),"—"))</f>
        <v>—</v>
      </c>
      <c r="J31" s="262" t="str">
        <f aca="false">IF(Calculator!$E$21&lt;&gt;"YES","—",IFERROR(ROUND(MIN(AW38:AW103),2),"—"))</f>
        <v>—</v>
      </c>
      <c r="K31" s="262" t="str">
        <f aca="false">IF(Calculator!$E$21&lt;&gt;"YES","—",IFERROR(ROUND(MIN(BI38:BI103),2),"—"))</f>
        <v>—</v>
      </c>
      <c r="L31" s="263"/>
      <c r="M31" s="263"/>
      <c r="N31" s="263"/>
      <c r="O31" s="263"/>
      <c r="P31" s="263"/>
      <c r="Q31" s="263"/>
      <c r="R31" s="263"/>
      <c r="S31" s="263"/>
      <c r="T31" s="263"/>
      <c r="U31" s="263"/>
      <c r="V31" s="263"/>
      <c r="W31" s="263"/>
      <c r="X31" s="263"/>
      <c r="Y31" s="263"/>
      <c r="Z31" s="263"/>
      <c r="AA31" s="263"/>
      <c r="AB31" s="263"/>
      <c r="AC31" s="263"/>
      <c r="AD31" s="263"/>
      <c r="AE31" s="263"/>
      <c r="AF31" s="263"/>
      <c r="AG31" s="263"/>
      <c r="AH31" s="263"/>
      <c r="AI31" s="263"/>
      <c r="AJ31" s="263"/>
      <c r="AK31" s="263"/>
      <c r="AL31" s="263"/>
    </row>
    <row r="32" customFormat="false" ht="15" hidden="false" customHeight="true" outlineLevel="0" collapsed="false">
      <c r="A32" s="257" t="str">
        <f aca="false">IF(Calculator!$E$22="YES","★ "&amp;"6m","6m")</f>
        <v>6m</v>
      </c>
      <c r="B32" s="257" t="str">
        <f aca="false">IF(Calculator!$E$22&lt;&gt;"YES","—",IFERROR(INDEX($A$38:$A$103,MATCH(MIN(N38:N103),N38:N103,0)),"—"))</f>
        <v>—</v>
      </c>
      <c r="C32" s="261" t="str">
        <f aca="false">IF(Calculator!$E$22&lt;&gt;"YES","—",IFERROR(INDEX($A$38:$A$103,MATCH(MIN(Z38:Z103),Z38:Z103,0)),"—"))</f>
        <v>—</v>
      </c>
      <c r="D32" s="262" t="str">
        <f aca="false">IF(Calculator!$E$22&lt;&gt;"YES","—",IFERROR(INDEX($A$38:$A$103,MATCH(MIN(AL38:AL103),AL38:AL103,0)),"—"))</f>
        <v>—</v>
      </c>
      <c r="E32" s="262" t="str">
        <f aca="false">IF(Calculator!$E$22&lt;&gt;"YES","—",IFERROR(INDEX($A$38:$A$103,MATCH(MIN(AX38:AX103),AX38:AX103,0)),"—"))</f>
        <v>—</v>
      </c>
      <c r="F32" s="262" t="str">
        <f aca="false">IF(Calculator!$E$22&lt;&gt;"YES","—",IFERROR(INDEX($A$38:$A$103,MATCH(MIN(BJ38:BJ103),BJ38:BJ103,0)),"—"))</f>
        <v>—</v>
      </c>
      <c r="G32" s="262" t="str">
        <f aca="false">IF(Calculator!$E$22&lt;&gt;"YES","—",IFERROR(ROUND(MIN(N38:N103),2),"—"))</f>
        <v>—</v>
      </c>
      <c r="H32" s="262" t="str">
        <f aca="false">IF(Calculator!$E$22&lt;&gt;"YES","—",IFERROR(ROUND(MIN(Z38:Z103),2),"—"))</f>
        <v>—</v>
      </c>
      <c r="I32" s="262" t="str">
        <f aca="false">IF(Calculator!$E$22&lt;&gt;"YES","—",IFERROR(ROUND(MIN(AL38:AL103),2),"—"))</f>
        <v>—</v>
      </c>
      <c r="J32" s="262" t="str">
        <f aca="false">IF(Calculator!$E$22&lt;&gt;"YES","—",IFERROR(ROUND(MIN(AX38:AX103),2),"—"))</f>
        <v>—</v>
      </c>
      <c r="K32" s="262" t="str">
        <f aca="false">IF(Calculator!$E$22&lt;&gt;"YES","—",IFERROR(ROUND(MIN(BJ38:BJ103),2),"—"))</f>
        <v>—</v>
      </c>
      <c r="L32" s="263"/>
      <c r="M32" s="263"/>
      <c r="N32" s="263"/>
      <c r="O32" s="263"/>
      <c r="P32" s="263"/>
      <c r="Q32" s="263"/>
      <c r="R32" s="263"/>
      <c r="S32" s="263"/>
      <c r="T32" s="263"/>
      <c r="U32" s="263"/>
      <c r="V32" s="263"/>
      <c r="W32" s="263"/>
      <c r="X32" s="263"/>
      <c r="Y32" s="263"/>
      <c r="Z32" s="263"/>
      <c r="AA32" s="263"/>
      <c r="AB32" s="263"/>
      <c r="AC32" s="263"/>
      <c r="AD32" s="263"/>
      <c r="AE32" s="263"/>
      <c r="AF32" s="263"/>
      <c r="AG32" s="263"/>
      <c r="AH32" s="263"/>
      <c r="AI32" s="263"/>
      <c r="AJ32" s="263"/>
      <c r="AK32" s="263"/>
      <c r="AL32" s="263"/>
    </row>
    <row r="33" customFormat="false" ht="15" hidden="false" customHeight="true" outlineLevel="0" collapsed="false">
      <c r="A33" s="254"/>
      <c r="B33" s="254"/>
      <c r="C33" s="264"/>
      <c r="D33" s="263"/>
      <c r="E33" s="263"/>
      <c r="F33" s="263"/>
      <c r="G33" s="263"/>
      <c r="H33" s="263"/>
      <c r="I33" s="263"/>
      <c r="J33" s="263"/>
      <c r="K33" s="263"/>
      <c r="L33" s="263"/>
      <c r="M33" s="263"/>
      <c r="N33" s="263"/>
      <c r="O33" s="263"/>
      <c r="P33" s="263"/>
      <c r="Q33" s="263"/>
      <c r="R33" s="263"/>
      <c r="S33" s="263"/>
      <c r="T33" s="263"/>
      <c r="U33" s="263"/>
      <c r="V33" s="263"/>
      <c r="W33" s="263"/>
      <c r="X33" s="263"/>
      <c r="Y33" s="263"/>
      <c r="Z33" s="263"/>
      <c r="AA33" s="263"/>
      <c r="AB33" s="263"/>
      <c r="AC33" s="263"/>
      <c r="AD33" s="263"/>
      <c r="AE33" s="263"/>
      <c r="AF33" s="263"/>
      <c r="AG33" s="263"/>
      <c r="AH33" s="263"/>
      <c r="AI33" s="263"/>
      <c r="AJ33" s="263"/>
      <c r="AK33" s="263"/>
      <c r="AL33" s="263"/>
    </row>
    <row r="34" customFormat="false" ht="15" hidden="false" customHeight="true" outlineLevel="0" collapsed="false">
      <c r="A34" s="265" t="s">
        <v>475</v>
      </c>
      <c r="B34" s="265"/>
      <c r="C34" s="265"/>
      <c r="D34" s="265"/>
      <c r="E34" s="265"/>
      <c r="F34" s="265"/>
      <c r="G34" s="265"/>
      <c r="H34" s="265"/>
      <c r="I34" s="265"/>
      <c r="J34" s="265"/>
      <c r="K34" s="265"/>
      <c r="L34" s="265"/>
      <c r="M34" s="265"/>
      <c r="N34" s="265"/>
      <c r="O34" s="265"/>
      <c r="P34" s="265"/>
      <c r="Q34" s="265"/>
      <c r="R34" s="265"/>
      <c r="S34" s="265"/>
      <c r="T34" s="265"/>
      <c r="U34" s="265"/>
      <c r="V34" s="265"/>
      <c r="W34" s="265"/>
      <c r="X34" s="265"/>
      <c r="Y34" s="265"/>
      <c r="Z34" s="265"/>
      <c r="AA34" s="265"/>
      <c r="AB34" s="265"/>
      <c r="AC34" s="265"/>
      <c r="AD34" s="265"/>
      <c r="AE34" s="265"/>
      <c r="AF34" s="265"/>
      <c r="AG34" s="265"/>
      <c r="AH34" s="265"/>
      <c r="AI34" s="265"/>
      <c r="AJ34" s="265"/>
      <c r="AK34" s="265"/>
      <c r="AL34" s="265"/>
      <c r="AM34" s="265"/>
      <c r="AN34" s="265"/>
      <c r="AO34" s="265"/>
      <c r="AP34" s="265"/>
      <c r="AQ34" s="265"/>
      <c r="AR34" s="265"/>
      <c r="AS34" s="265"/>
      <c r="AT34" s="265"/>
      <c r="AU34" s="265"/>
      <c r="AV34" s="265"/>
      <c r="AW34" s="265"/>
      <c r="AX34" s="265"/>
      <c r="AY34" s="265"/>
      <c r="AZ34" s="265"/>
      <c r="BA34" s="265"/>
      <c r="BB34" s="265"/>
      <c r="BC34" s="265"/>
      <c r="BD34" s="265"/>
      <c r="BE34" s="265"/>
      <c r="BF34" s="265"/>
      <c r="BG34" s="265"/>
      <c r="BH34" s="265"/>
      <c r="BI34" s="265"/>
      <c r="BJ34" s="265"/>
      <c r="BK34" s="265"/>
    </row>
    <row r="35" customFormat="false" ht="15" hidden="false" customHeight="true" outlineLevel="0" collapsed="false">
      <c r="A35" s="266" t="s">
        <v>476</v>
      </c>
      <c r="B35" s="266"/>
      <c r="C35" s="266"/>
      <c r="D35" s="266"/>
      <c r="E35" s="266"/>
      <c r="F35" s="266"/>
      <c r="G35" s="266"/>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row>
    <row r="36" customFormat="false" ht="66.75" hidden="false" customHeight="true" outlineLevel="0" collapsed="false">
      <c r="A36" s="267" t="s">
        <v>477</v>
      </c>
      <c r="B36" s="267" t="s">
        <v>478</v>
      </c>
      <c r="C36" s="268" t="s">
        <v>479</v>
      </c>
      <c r="D36" s="269" t="str">
        <f aca="false">"Antenna #"&amp;1&amp;" — "&amp;Calculator!$B$29&amp;" m  "&amp;Calculator!$G$29</f>
        <v>Antenna #1 — 13.3 m  Portable / SOTA</v>
      </c>
      <c r="E36" s="269"/>
      <c r="F36" s="269"/>
      <c r="G36" s="269"/>
      <c r="H36" s="269"/>
      <c r="I36" s="269"/>
      <c r="J36" s="269"/>
      <c r="K36" s="269"/>
      <c r="L36" s="269"/>
      <c r="M36" s="269"/>
      <c r="N36" s="269"/>
      <c r="O36" s="269"/>
      <c r="P36" s="270" t="str">
        <f aca="false">"Antenna #"&amp;2&amp;" — "&amp;Calculator!$B$30&amp;" m  "&amp;Calculator!$G$30</f>
        <v>Antenna #2 — 13.4 m  Portable / SOTA</v>
      </c>
      <c r="Q36" s="270"/>
      <c r="R36" s="270"/>
      <c r="S36" s="270"/>
      <c r="T36" s="270"/>
      <c r="U36" s="270"/>
      <c r="V36" s="270"/>
      <c r="W36" s="270"/>
      <c r="X36" s="270"/>
      <c r="Y36" s="270"/>
      <c r="Z36" s="270"/>
      <c r="AA36" s="270"/>
      <c r="AB36" s="271" t="str">
        <f aca="false">"Antenna #"&amp;3&amp;" — "&amp;Calculator!$B$31&amp;" m  "&amp;Calculator!$G$31</f>
        <v>Antenna #3 — 13.2 m  Portable / SOTA</v>
      </c>
      <c r="AC36" s="271"/>
      <c r="AD36" s="271"/>
      <c r="AE36" s="271"/>
      <c r="AF36" s="271"/>
      <c r="AG36" s="271"/>
      <c r="AH36" s="271"/>
      <c r="AI36" s="271"/>
      <c r="AJ36" s="271"/>
      <c r="AK36" s="271"/>
      <c r="AL36" s="271"/>
      <c r="AM36" s="271"/>
      <c r="AN36" s="272" t="str">
        <f aca="false">"Antenna #"&amp;4&amp;" — "&amp;Calculator!$B$32&amp;" m  "&amp;Calculator!$G$32</f>
        <v>Antenna #4 — 23.3 m  Good portable/home</v>
      </c>
      <c r="AO36" s="272"/>
      <c r="AP36" s="272"/>
      <c r="AQ36" s="272"/>
      <c r="AR36" s="272"/>
      <c r="AS36" s="272"/>
      <c r="AT36" s="272"/>
      <c r="AU36" s="272"/>
      <c r="AV36" s="272"/>
      <c r="AW36" s="272"/>
      <c r="AX36" s="272"/>
      <c r="AY36" s="272"/>
      <c r="AZ36" s="273" t="str">
        <f aca="false">"Antenna #"&amp;5&amp;" — "&amp;Calculator!$B$33&amp;" m  "&amp;Calculator!$G$33</f>
        <v>Antenna #5 — 23.4 m  Good portable/home</v>
      </c>
      <c r="BA36" s="273"/>
      <c r="BB36" s="273"/>
      <c r="BC36" s="273"/>
      <c r="BD36" s="273"/>
      <c r="BE36" s="273"/>
      <c r="BF36" s="273"/>
      <c r="BG36" s="273"/>
      <c r="BH36" s="273"/>
      <c r="BI36" s="273"/>
      <c r="BJ36" s="273"/>
      <c r="BK36" s="273"/>
      <c r="BM36" s="249" t="str">
        <f aca="false">"Antenna #"&amp;1&amp;" (w/CP) — "&amp;Calculator!$B$29&amp;" m  "&amp;Calculator!$G$29</f>
        <v>Antenna #1 (w/CP) — 13.3 m  Portable / SOTA</v>
      </c>
      <c r="BY36" s="249" t="str">
        <f aca="false">"Antenna #"&amp;2&amp;" (w/CP) — "&amp;Calculator!$B$30&amp;" m  "&amp;Calculator!$G$30</f>
        <v>Antenna #2 (w/CP) — 13.4 m  Portable / SOTA</v>
      </c>
      <c r="CK36" s="249" t="str">
        <f aca="false">"Antenna #"&amp;3&amp;" (w/CP) — "&amp;Calculator!$B$31&amp;" m  "&amp;Calculator!$G$31</f>
        <v>Antenna #3 (w/CP) — 13.2 m  Portable / SOTA</v>
      </c>
      <c r="CW36" s="249" t="str">
        <f aca="false">"Antenna #"&amp;4&amp;" (w/CP) — "&amp;Calculator!$B$32&amp;" m  "&amp;Calculator!$G$32</f>
        <v>Antenna #4 (w/CP) — 23.3 m  Good portable/home</v>
      </c>
      <c r="DI36" s="249" t="str">
        <f aca="false">"Antenna #"&amp;5&amp;" (w/CP) — "&amp;Calculator!$B$33&amp;" m  "&amp;Calculator!$G$33</f>
        <v>Antenna #5 (w/CP) — 23.4 m  Good portable/home</v>
      </c>
    </row>
    <row r="37" customFormat="false" ht="27" hidden="false" customHeight="true" outlineLevel="0" collapsed="false">
      <c r="A37" s="257"/>
      <c r="B37" s="257" t="s">
        <v>480</v>
      </c>
      <c r="C37" s="261" t="s">
        <v>481</v>
      </c>
      <c r="D37" s="274" t="s">
        <v>16</v>
      </c>
      <c r="E37" s="274" t="s">
        <v>18</v>
      </c>
      <c r="F37" s="274" t="s">
        <v>19</v>
      </c>
      <c r="G37" s="274" t="s">
        <v>20</v>
      </c>
      <c r="H37" s="274" t="s">
        <v>22</v>
      </c>
      <c r="I37" s="274" t="s">
        <v>23</v>
      </c>
      <c r="J37" s="274" t="s">
        <v>24</v>
      </c>
      <c r="K37" s="274" t="s">
        <v>25</v>
      </c>
      <c r="L37" s="274" t="s">
        <v>26</v>
      </c>
      <c r="M37" s="274" t="s">
        <v>27</v>
      </c>
      <c r="N37" s="274" t="s">
        <v>28</v>
      </c>
      <c r="O37" s="275" t="s">
        <v>482</v>
      </c>
      <c r="P37" s="274" t="s">
        <v>16</v>
      </c>
      <c r="Q37" s="274" t="s">
        <v>18</v>
      </c>
      <c r="R37" s="274" t="s">
        <v>19</v>
      </c>
      <c r="S37" s="274" t="s">
        <v>20</v>
      </c>
      <c r="T37" s="274" t="s">
        <v>22</v>
      </c>
      <c r="U37" s="274" t="s">
        <v>23</v>
      </c>
      <c r="V37" s="274" t="s">
        <v>24</v>
      </c>
      <c r="W37" s="274" t="s">
        <v>25</v>
      </c>
      <c r="X37" s="274" t="s">
        <v>26</v>
      </c>
      <c r="Y37" s="274" t="s">
        <v>27</v>
      </c>
      <c r="Z37" s="274" t="s">
        <v>28</v>
      </c>
      <c r="AA37" s="275" t="s">
        <v>482</v>
      </c>
      <c r="AB37" s="274" t="s">
        <v>16</v>
      </c>
      <c r="AC37" s="274" t="s">
        <v>18</v>
      </c>
      <c r="AD37" s="274" t="s">
        <v>19</v>
      </c>
      <c r="AE37" s="274" t="s">
        <v>20</v>
      </c>
      <c r="AF37" s="274" t="s">
        <v>22</v>
      </c>
      <c r="AG37" s="274" t="s">
        <v>23</v>
      </c>
      <c r="AH37" s="274" t="s">
        <v>24</v>
      </c>
      <c r="AI37" s="274" t="s">
        <v>25</v>
      </c>
      <c r="AJ37" s="274" t="s">
        <v>26</v>
      </c>
      <c r="AK37" s="274" t="s">
        <v>27</v>
      </c>
      <c r="AL37" s="274" t="s">
        <v>28</v>
      </c>
      <c r="AM37" s="276" t="s">
        <v>482</v>
      </c>
      <c r="AN37" s="277" t="s">
        <v>16</v>
      </c>
      <c r="AO37" s="277" t="s">
        <v>18</v>
      </c>
      <c r="AP37" s="277" t="s">
        <v>19</v>
      </c>
      <c r="AQ37" s="277" t="s">
        <v>20</v>
      </c>
      <c r="AR37" s="277" t="s">
        <v>22</v>
      </c>
      <c r="AS37" s="277" t="s">
        <v>23</v>
      </c>
      <c r="AT37" s="277" t="s">
        <v>24</v>
      </c>
      <c r="AU37" s="277" t="s">
        <v>25</v>
      </c>
      <c r="AV37" s="277" t="s">
        <v>26</v>
      </c>
      <c r="AW37" s="277" t="s">
        <v>27</v>
      </c>
      <c r="AX37" s="277" t="s">
        <v>28</v>
      </c>
      <c r="AY37" s="276" t="s">
        <v>482</v>
      </c>
      <c r="AZ37" s="277" t="s">
        <v>16</v>
      </c>
      <c r="BA37" s="277" t="s">
        <v>18</v>
      </c>
      <c r="BB37" s="277" t="s">
        <v>19</v>
      </c>
      <c r="BC37" s="277" t="s">
        <v>20</v>
      </c>
      <c r="BD37" s="277" t="s">
        <v>22</v>
      </c>
      <c r="BE37" s="277" t="s">
        <v>23</v>
      </c>
      <c r="BF37" s="277" t="s">
        <v>24</v>
      </c>
      <c r="BG37" s="277" t="s">
        <v>25</v>
      </c>
      <c r="BH37" s="277" t="s">
        <v>26</v>
      </c>
      <c r="BI37" s="277" t="s">
        <v>27</v>
      </c>
      <c r="BJ37" s="277" t="s">
        <v>28</v>
      </c>
      <c r="BK37" s="276" t="s">
        <v>482</v>
      </c>
      <c r="BM37" s="249" t="s">
        <v>16</v>
      </c>
      <c r="BN37" s="249" t="s">
        <v>18</v>
      </c>
      <c r="BO37" s="249" t="s">
        <v>19</v>
      </c>
      <c r="BP37" s="249" t="s">
        <v>20</v>
      </c>
      <c r="BQ37" s="249" t="s">
        <v>22</v>
      </c>
      <c r="BR37" s="249" t="s">
        <v>23</v>
      </c>
      <c r="BS37" s="249" t="s">
        <v>24</v>
      </c>
      <c r="BT37" s="249" t="s">
        <v>25</v>
      </c>
      <c r="BU37" s="249" t="s">
        <v>26</v>
      </c>
      <c r="BV37" s="249" t="s">
        <v>27</v>
      </c>
      <c r="BW37" s="249" t="s">
        <v>28</v>
      </c>
      <c r="BX37" s="249" t="s">
        <v>483</v>
      </c>
      <c r="BY37" s="249" t="s">
        <v>16</v>
      </c>
      <c r="BZ37" s="249" t="s">
        <v>18</v>
      </c>
      <c r="CA37" s="249" t="s">
        <v>19</v>
      </c>
      <c r="CB37" s="249" t="s">
        <v>20</v>
      </c>
      <c r="CC37" s="249" t="s">
        <v>22</v>
      </c>
      <c r="CD37" s="249" t="s">
        <v>23</v>
      </c>
      <c r="CE37" s="249" t="s">
        <v>24</v>
      </c>
      <c r="CF37" s="249" t="s">
        <v>25</v>
      </c>
      <c r="CG37" s="249" t="s">
        <v>26</v>
      </c>
      <c r="CH37" s="249" t="s">
        <v>27</v>
      </c>
      <c r="CI37" s="249" t="s">
        <v>28</v>
      </c>
      <c r="CJ37" s="249" t="s">
        <v>483</v>
      </c>
      <c r="CK37" s="249" t="s">
        <v>16</v>
      </c>
      <c r="CL37" s="249" t="s">
        <v>18</v>
      </c>
      <c r="CM37" s="249" t="s">
        <v>19</v>
      </c>
      <c r="CN37" s="249" t="s">
        <v>20</v>
      </c>
      <c r="CO37" s="249" t="s">
        <v>22</v>
      </c>
      <c r="CP37" s="249" t="s">
        <v>23</v>
      </c>
      <c r="CQ37" s="249" t="s">
        <v>24</v>
      </c>
      <c r="CR37" s="249" t="s">
        <v>25</v>
      </c>
      <c r="CS37" s="249" t="s">
        <v>26</v>
      </c>
      <c r="CT37" s="249" t="s">
        <v>27</v>
      </c>
      <c r="CU37" s="249" t="s">
        <v>28</v>
      </c>
      <c r="CV37" s="249" t="s">
        <v>483</v>
      </c>
      <c r="CW37" s="249" t="s">
        <v>16</v>
      </c>
      <c r="CX37" s="249" t="s">
        <v>18</v>
      </c>
      <c r="CY37" s="249" t="s">
        <v>19</v>
      </c>
      <c r="CZ37" s="249" t="s">
        <v>20</v>
      </c>
      <c r="DA37" s="249" t="s">
        <v>22</v>
      </c>
      <c r="DB37" s="249" t="s">
        <v>23</v>
      </c>
      <c r="DC37" s="249" t="s">
        <v>24</v>
      </c>
      <c r="DD37" s="249" t="s">
        <v>25</v>
      </c>
      <c r="DE37" s="249" t="s">
        <v>26</v>
      </c>
      <c r="DF37" s="249" t="s">
        <v>27</v>
      </c>
      <c r="DG37" s="249" t="s">
        <v>28</v>
      </c>
      <c r="DH37" s="249" t="s">
        <v>483</v>
      </c>
      <c r="DI37" s="249" t="s">
        <v>16</v>
      </c>
      <c r="DJ37" s="249" t="s">
        <v>18</v>
      </c>
      <c r="DK37" s="249" t="s">
        <v>19</v>
      </c>
      <c r="DL37" s="249" t="s">
        <v>20</v>
      </c>
      <c r="DM37" s="249" t="s">
        <v>22</v>
      </c>
      <c r="DN37" s="249" t="s">
        <v>23</v>
      </c>
      <c r="DO37" s="249" t="s">
        <v>24</v>
      </c>
      <c r="DP37" s="249" t="s">
        <v>25</v>
      </c>
      <c r="DQ37" s="249" t="s">
        <v>26</v>
      </c>
      <c r="DR37" s="249" t="s">
        <v>27</v>
      </c>
      <c r="DS37" s="249" t="s">
        <v>28</v>
      </c>
      <c r="DT37" s="249" t="s">
        <v>483</v>
      </c>
      <c r="DU37" s="278" t="s">
        <v>16</v>
      </c>
      <c r="DV37" s="278" t="s">
        <v>18</v>
      </c>
      <c r="DW37" s="278" t="s">
        <v>19</v>
      </c>
      <c r="DX37" s="278" t="s">
        <v>20</v>
      </c>
      <c r="DY37" s="278" t="s">
        <v>22</v>
      </c>
      <c r="DZ37" s="278" t="s">
        <v>23</v>
      </c>
      <c r="EA37" s="278" t="s">
        <v>24</v>
      </c>
      <c r="EB37" s="278" t="s">
        <v>25</v>
      </c>
      <c r="EC37" s="278" t="s">
        <v>26</v>
      </c>
      <c r="ED37" s="278" t="s">
        <v>27</v>
      </c>
      <c r="EE37" s="278" t="s">
        <v>28</v>
      </c>
      <c r="EF37" s="278" t="s">
        <v>482</v>
      </c>
      <c r="EG37" s="278" t="s">
        <v>16</v>
      </c>
      <c r="EH37" s="278" t="s">
        <v>18</v>
      </c>
      <c r="EI37" s="278" t="s">
        <v>19</v>
      </c>
      <c r="EJ37" s="278" t="s">
        <v>20</v>
      </c>
      <c r="EK37" s="278" t="s">
        <v>22</v>
      </c>
      <c r="EL37" s="278" t="s">
        <v>23</v>
      </c>
      <c r="EM37" s="278" t="s">
        <v>24</v>
      </c>
      <c r="EN37" s="278" t="s">
        <v>25</v>
      </c>
      <c r="EO37" s="278" t="s">
        <v>26</v>
      </c>
      <c r="EP37" s="278" t="s">
        <v>27</v>
      </c>
      <c r="EQ37" s="278" t="s">
        <v>28</v>
      </c>
      <c r="ER37" s="278" t="s">
        <v>482</v>
      </c>
      <c r="ES37" s="278" t="s">
        <v>16</v>
      </c>
      <c r="ET37" s="278" t="s">
        <v>18</v>
      </c>
      <c r="EU37" s="278" t="s">
        <v>19</v>
      </c>
      <c r="EV37" s="278" t="s">
        <v>20</v>
      </c>
      <c r="EW37" s="278" t="s">
        <v>22</v>
      </c>
      <c r="EX37" s="278" t="s">
        <v>23</v>
      </c>
      <c r="EY37" s="278" t="s">
        <v>24</v>
      </c>
      <c r="EZ37" s="278" t="s">
        <v>25</v>
      </c>
      <c r="FA37" s="278" t="s">
        <v>26</v>
      </c>
      <c r="FB37" s="278" t="s">
        <v>27</v>
      </c>
      <c r="FC37" s="278" t="s">
        <v>28</v>
      </c>
      <c r="FD37" s="278" t="s">
        <v>482</v>
      </c>
      <c r="FE37" s="278" t="s">
        <v>16</v>
      </c>
      <c r="FF37" s="278" t="s">
        <v>18</v>
      </c>
      <c r="FG37" s="278" t="s">
        <v>19</v>
      </c>
      <c r="FH37" s="278" t="s">
        <v>20</v>
      </c>
      <c r="FI37" s="278" t="s">
        <v>22</v>
      </c>
      <c r="FJ37" s="278" t="s">
        <v>23</v>
      </c>
      <c r="FK37" s="278" t="s">
        <v>24</v>
      </c>
      <c r="FL37" s="278" t="s">
        <v>25</v>
      </c>
      <c r="FM37" s="278" t="s">
        <v>26</v>
      </c>
      <c r="FN37" s="278" t="s">
        <v>27</v>
      </c>
      <c r="FO37" s="278" t="s">
        <v>28</v>
      </c>
      <c r="FP37" s="278" t="s">
        <v>482</v>
      </c>
      <c r="FQ37" s="278" t="s">
        <v>16</v>
      </c>
      <c r="FR37" s="278" t="s">
        <v>18</v>
      </c>
      <c r="FS37" s="278" t="s">
        <v>19</v>
      </c>
      <c r="FT37" s="278" t="s">
        <v>20</v>
      </c>
      <c r="FU37" s="278" t="s">
        <v>22</v>
      </c>
      <c r="FV37" s="278" t="s">
        <v>23</v>
      </c>
      <c r="FW37" s="278" t="s">
        <v>24</v>
      </c>
      <c r="FX37" s="278" t="s">
        <v>25</v>
      </c>
      <c r="FY37" s="278" t="s">
        <v>26</v>
      </c>
      <c r="FZ37" s="278" t="s">
        <v>27</v>
      </c>
      <c r="GA37" s="278" t="s">
        <v>28</v>
      </c>
      <c r="GB37" s="278" t="s">
        <v>482</v>
      </c>
      <c r="GD37" s="249" t="s">
        <v>16</v>
      </c>
      <c r="GE37" s="249" t="s">
        <v>18</v>
      </c>
      <c r="GF37" s="249" t="s">
        <v>19</v>
      </c>
      <c r="GG37" s="249" t="s">
        <v>20</v>
      </c>
      <c r="GH37" s="249" t="s">
        <v>22</v>
      </c>
      <c r="GI37" s="249" t="s">
        <v>23</v>
      </c>
      <c r="GJ37" s="249" t="s">
        <v>24</v>
      </c>
      <c r="GK37" s="249" t="s">
        <v>25</v>
      </c>
      <c r="GL37" s="249" t="s">
        <v>26</v>
      </c>
      <c r="GM37" s="249" t="s">
        <v>27</v>
      </c>
      <c r="GN37" s="249" t="s">
        <v>28</v>
      </c>
      <c r="GO37" s="249" t="s">
        <v>483</v>
      </c>
      <c r="GP37" s="249" t="s">
        <v>16</v>
      </c>
      <c r="GQ37" s="249" t="s">
        <v>18</v>
      </c>
      <c r="GR37" s="249" t="s">
        <v>19</v>
      </c>
      <c r="GS37" s="249" t="s">
        <v>20</v>
      </c>
      <c r="GT37" s="249" t="s">
        <v>22</v>
      </c>
      <c r="GU37" s="249" t="s">
        <v>23</v>
      </c>
      <c r="GV37" s="249" t="s">
        <v>24</v>
      </c>
      <c r="GW37" s="249" t="s">
        <v>25</v>
      </c>
      <c r="GX37" s="249" t="s">
        <v>26</v>
      </c>
      <c r="GY37" s="249" t="s">
        <v>27</v>
      </c>
      <c r="GZ37" s="249" t="s">
        <v>28</v>
      </c>
      <c r="HA37" s="249" t="s">
        <v>483</v>
      </c>
      <c r="HB37" s="249" t="s">
        <v>16</v>
      </c>
      <c r="HC37" s="249" t="s">
        <v>18</v>
      </c>
      <c r="HD37" s="249" t="s">
        <v>19</v>
      </c>
      <c r="HE37" s="249" t="s">
        <v>20</v>
      </c>
      <c r="HF37" s="249" t="s">
        <v>22</v>
      </c>
      <c r="HG37" s="249" t="s">
        <v>23</v>
      </c>
      <c r="HH37" s="249" t="s">
        <v>24</v>
      </c>
      <c r="HI37" s="249" t="s">
        <v>25</v>
      </c>
      <c r="HJ37" s="249" t="s">
        <v>26</v>
      </c>
      <c r="HK37" s="249" t="s">
        <v>27</v>
      </c>
      <c r="HL37" s="249" t="s">
        <v>28</v>
      </c>
      <c r="HM37" s="249" t="s">
        <v>483</v>
      </c>
      <c r="HN37" s="249" t="s">
        <v>16</v>
      </c>
      <c r="HO37" s="249" t="s">
        <v>18</v>
      </c>
      <c r="HP37" s="249" t="s">
        <v>19</v>
      </c>
      <c r="HQ37" s="249" t="s">
        <v>20</v>
      </c>
      <c r="HR37" s="249" t="s">
        <v>22</v>
      </c>
      <c r="HS37" s="249" t="s">
        <v>23</v>
      </c>
      <c r="HT37" s="249" t="s">
        <v>24</v>
      </c>
      <c r="HU37" s="249" t="s">
        <v>25</v>
      </c>
      <c r="HV37" s="249" t="s">
        <v>26</v>
      </c>
      <c r="HW37" s="249" t="s">
        <v>27</v>
      </c>
      <c r="HX37" s="249" t="s">
        <v>28</v>
      </c>
      <c r="HY37" s="249" t="s">
        <v>483</v>
      </c>
      <c r="HZ37" s="249" t="s">
        <v>16</v>
      </c>
      <c r="IA37" s="249" t="s">
        <v>18</v>
      </c>
      <c r="IB37" s="249" t="s">
        <v>19</v>
      </c>
      <c r="IC37" s="249" t="s">
        <v>20</v>
      </c>
      <c r="ID37" s="249" t="s">
        <v>22</v>
      </c>
      <c r="IE37" s="249" t="s">
        <v>23</v>
      </c>
      <c r="IF37" s="249" t="s">
        <v>24</v>
      </c>
      <c r="IG37" s="249" t="s">
        <v>25</v>
      </c>
      <c r="IH37" s="249" t="s">
        <v>26</v>
      </c>
      <c r="II37" s="249" t="s">
        <v>27</v>
      </c>
      <c r="IJ37" s="249" t="s">
        <v>28</v>
      </c>
      <c r="IK37" s="249" t="s">
        <v>483</v>
      </c>
    </row>
    <row r="38" customFormat="false" ht="15" hidden="false" customHeight="true" outlineLevel="0" collapsed="false">
      <c r="A38" s="279" t="s">
        <v>484</v>
      </c>
      <c r="B38" s="280" t="s">
        <v>485</v>
      </c>
      <c r="C38" s="281" t="n">
        <v>200</v>
      </c>
      <c r="D38" s="282"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82"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82"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82"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82"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82"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82"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82"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82"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82"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82"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8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82"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82"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82"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82"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82"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82"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82"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82"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82"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82"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82"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8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82"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82"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82"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82"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82"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82"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82"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82"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82"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82"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82"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8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85"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85"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85"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85"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85"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85"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85"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85"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85"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85"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85"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8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85"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85"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85"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85"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85"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85"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85"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85"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85"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85"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85"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8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49"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49"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49"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49"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49"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49"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49"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49"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49"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49"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49"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49"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49"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49"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49"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49"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49"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49"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49"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49"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49"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49"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49"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49"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49"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49"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49"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49"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49"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49"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49"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49"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49"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49"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49"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49"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49"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49"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49"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49"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49"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49"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49"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49"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49"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49"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49"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49"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49"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49"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49"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49"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49"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49"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49"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49"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49"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49"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49"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49"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86"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86"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86"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86"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86"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86"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86"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86"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86"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86"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86"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87"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86"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86"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86"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86"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86"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86"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86"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86"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86"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86"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86"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87"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86"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86"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86"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86"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86"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86"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86"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86"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86"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86"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86"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87"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86"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86"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86"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86"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86"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86"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86"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86"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86"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86"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86"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87"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86"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86"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86"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86"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86"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86"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86"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86"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86"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86"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86"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87"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49"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49"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49"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49"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49"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49"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49"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49"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49"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49"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49"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49"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49"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49"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49"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49"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49"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49"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49"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49"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49"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49"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49"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49"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49"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49"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49"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49"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49"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49"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49"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49"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49"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49"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49"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49"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49"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49"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49"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49"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49"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49"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49"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49"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49"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49"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49"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49"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49"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49"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49"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49"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49"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49"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49"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49"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49"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49"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49"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49"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57" t="s">
        <v>486</v>
      </c>
      <c r="B39" s="257" t="s">
        <v>339</v>
      </c>
      <c r="C39" s="261" t="n">
        <v>250</v>
      </c>
      <c r="D39" s="262"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62"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62"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62"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62"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62"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62"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62"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62"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62"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62"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88"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62"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62"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62"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62"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62"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62"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62"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62"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62"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62"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62"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88"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62"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62"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62"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62"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62"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62"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62"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62"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62"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62"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62"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89"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0"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0"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0"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0"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0"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0"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0"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0"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0"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0"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0"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89"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0"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0"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0"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0"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0"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0"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0"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0"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0"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0"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0"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89"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49"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49"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49"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49"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49"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49"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49"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49"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49"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49"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49"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49"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49"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49"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49"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49"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49"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49"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49"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49"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49"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49"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49"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49"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49"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49"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49"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49"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49"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49"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49"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49"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49"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49"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49"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49"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49"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49"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49"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49"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49"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49"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49"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49"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49"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49"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49"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49"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49"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49"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49"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49"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49"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49"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49"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49"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49"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49"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49"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49"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49"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49"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49"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49"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49"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49"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49"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49"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49"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49"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49"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1"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49"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49"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49"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49"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49"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49"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49"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49"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49"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49"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49"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1"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49"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49"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49"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49"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49"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49"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49"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49"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49"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49"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49"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1"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49"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49"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49"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49"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49"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49"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49"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49"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49"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49"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49"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1"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49"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49"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49"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49"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49"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49"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49"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49"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49"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49"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49"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1"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49"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49"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49"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49"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49"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49"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49"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49"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49"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49"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49"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49"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49"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49"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49"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49"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49"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49"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49"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49"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49"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49"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49"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49"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49"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49"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49"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49"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49"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49"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49"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49"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49"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49"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49"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49"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49"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49"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49"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49"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49"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49"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49"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49"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49"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49"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49"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49"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49"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49"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49"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49"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49"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49"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49"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49"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49"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49"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49"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49"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292" t="s">
        <v>487</v>
      </c>
      <c r="B40" s="292" t="s">
        <v>339</v>
      </c>
      <c r="C40" s="293" t="n">
        <v>300</v>
      </c>
      <c r="D40" s="294"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94"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94"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94"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294"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94"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294"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94"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94"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94"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294"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88"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294"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94"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94"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94"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294"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94"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294"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94"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94"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94"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294"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88"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294"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94"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94"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94"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294"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94"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294"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94"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94"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94"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294"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89"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295"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95"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95"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95"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295"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95"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295"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95"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95"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95"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295"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89"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295"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95"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95"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95"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295"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95"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295"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95"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95"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95"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295"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89"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49"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49"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49"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49"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49"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49"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49"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49"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49"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49"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49"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49"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49"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49"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49"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49"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49"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49"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49"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49"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49"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49"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49"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49"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49"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49"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49"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49"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49"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49"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49"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49"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49"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49"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49"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49"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49"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49"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49"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49"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49"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49"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49"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49"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49"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49"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49"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49"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49"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49"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49"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49"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49"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49"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49"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49"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49"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49"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49"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49"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296"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96"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96"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96"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296"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96"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296"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96"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96"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96"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296"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1"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296"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96"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96"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96"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296"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96"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296"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96"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96"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96"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296"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1"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296"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96"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96"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96"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296"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96"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296"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96"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96"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96"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296"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1"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296"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96"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96"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96"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296"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96"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296"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96"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96"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96"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296"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1"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296"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96"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96"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96"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296"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96"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296"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96"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96"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96"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296"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1"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49"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49"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49"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49"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49"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49"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49"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49"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49"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49"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49"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49"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49"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49"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49"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49"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49"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49"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49"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49"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49"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49"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49"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49"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49"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49"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49"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49"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49"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49"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49"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49"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49"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49"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49"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49"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49"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49"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49"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49"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49"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49"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49"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49"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49"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49"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49"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49"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49"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49"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49"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49"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49"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49"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49"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49"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49"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49"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49"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49"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57" t="s">
        <v>488</v>
      </c>
      <c r="B41" s="257" t="s">
        <v>339</v>
      </c>
      <c r="C41" s="261" t="n">
        <v>350</v>
      </c>
      <c r="D41" s="262"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62"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62"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62"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62"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62"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62"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62"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62"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62"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62"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88"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62"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62"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62"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62"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62"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62"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62"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62"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62"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62"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62"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88"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62"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62"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62"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62"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62"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62"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62"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62"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62"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62"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62"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89"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0"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0"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0"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0"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0"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0"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0"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0"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0"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0"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0"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89"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0"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0"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0"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0"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0"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0"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0"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0"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0"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0"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0"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89"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49"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49"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49"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49"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49"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49"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49"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49"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49"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49"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49"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49"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49"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49"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49"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49"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49"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49"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49"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49"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49"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49"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49"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49"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49"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49"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49"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49"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49"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49"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49"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49"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49"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49"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49"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49"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49"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49"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49"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49"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49"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49"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49"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49"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49"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49"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49"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49"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49"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49"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49"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49"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49"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49"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49"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49"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49"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49"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49"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49"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49"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49"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49"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49"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49"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49"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49"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49"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49"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49"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49"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1"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49"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49"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49"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49"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49"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49"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49"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49"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49"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49"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49"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1"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49"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49"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49"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49"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49"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49"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49"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49"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49"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49"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49"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1"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49"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49"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49"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49"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49"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49"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49"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49"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49"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49"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49"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1"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49"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49"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49"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49"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49"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49"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49"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49"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49"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49"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49"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1"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49"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49"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49"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49"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49"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49"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49"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49"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49"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49"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49"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49"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49"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49"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49"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49"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49"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49"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49"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49"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49"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49"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49"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49"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49"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49"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49"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49"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49"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49"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49"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49"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49"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49"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49"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49"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49"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49"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49"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49"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49"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49"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49"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49"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49"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49"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49"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49"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49"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49"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49"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49"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49"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49"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49"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49"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49"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49"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49"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49"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292" t="s">
        <v>489</v>
      </c>
      <c r="B42" s="292" t="s">
        <v>339</v>
      </c>
      <c r="C42" s="293" t="n">
        <v>400</v>
      </c>
      <c r="D42" s="294"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94"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94"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94"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294"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94"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294"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94"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94"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94"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294"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88"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294"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94"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94"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94"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294"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94"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294"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94"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94"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94"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294"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88"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294"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94"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94"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94"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294"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94"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294"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94"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94"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94"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294"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89"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295"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95"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95"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95"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295"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95"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295"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95"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95"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95"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295"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89"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295"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95"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95"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95"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295"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95"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295"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95"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95"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95"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295"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89"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49"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49"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49"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49"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49"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49"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49"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49"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49"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49"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49"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49"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49"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49"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49"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49"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49"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49"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49"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49"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49"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49"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49"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49"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49"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49"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49"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49"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49"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49"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49"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49"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49"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49"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49"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49"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49"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49"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49"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49"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49"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49"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49"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49"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49"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49"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49"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49"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49"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49"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49"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49"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49"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49"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49"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49"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49"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49"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49"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49"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296"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96"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96"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96"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296"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96"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296"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96"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96"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96"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296"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1"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296"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96"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96"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96"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296"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96"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296"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96"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96"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96"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296"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1"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296"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96"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96"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96"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296"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96"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296"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96"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96"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96"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296"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1"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296"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96"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96"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96"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296"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96"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296"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96"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96"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96"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296"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1"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296"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96"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96"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96"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296"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96"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296"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96"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96"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96"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296"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1"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49"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49"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49"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49"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49"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49"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49"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49"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49"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49"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49"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49"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49"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49"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49"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49"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49"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49"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49"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49"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49"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49"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49"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49"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49"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49"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49"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49"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49"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49"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49"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49"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49"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49"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49"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49"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49"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49"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49"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49"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49"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49"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49"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49"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49"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49"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49"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49"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49"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49"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49"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49"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49"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49"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49"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49"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49"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49"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49"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49"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79" t="s">
        <v>490</v>
      </c>
      <c r="B43" s="280" t="s">
        <v>491</v>
      </c>
      <c r="C43" s="281" t="n">
        <v>450</v>
      </c>
      <c r="D43" s="282"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82"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82"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82"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82"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82"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82"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82"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82"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82"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82"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8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82"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82"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82"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82"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82"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82"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82"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82"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82"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82"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82"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8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82"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82"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82"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82"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82"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82"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82"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82"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82"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82"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82"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8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85"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85"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85"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85"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85"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85"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85"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85"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85"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85"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85"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8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85"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85"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85"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85"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85"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85"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85"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85"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85"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85"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85"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8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49"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49"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49"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49"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49"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49"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49"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49"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49"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49"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49"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49"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49"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49"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49"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49"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49"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49"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49"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49"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49"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49"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49"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49"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49"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49"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49"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49"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49"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49"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49"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49"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49"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49"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49"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49"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49"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49"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49"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49"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49"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49"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49"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49"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49"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49"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49"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49"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49"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49"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49"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49"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49"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49"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49"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49"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49"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49"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49"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49"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86"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86"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86"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86"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86"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86"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86"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86"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86"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86"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86"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87"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86"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86"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86"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86"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86"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86"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86"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86"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86"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86"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86"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87"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86"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86"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86"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86"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86"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86"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86"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86"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86"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86"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86"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87"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86"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86"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86"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86"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86"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86"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86"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86"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86"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86"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86"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87"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86"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86"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86"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86"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86"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86"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86"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86"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86"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86"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86"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87"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49"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49"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49"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49"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49"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49"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49"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49"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49"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49"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49"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49"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49"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49"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49"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49"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49"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49"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49"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49"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49"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49"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49"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49"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49"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49"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49"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49"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49"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49"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49"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49"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49"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49"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49"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49"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49"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49"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49"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49"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49"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49"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49"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49"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49"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49"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49"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49"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49"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49"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49"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49"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49"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49"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49"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49"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49"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49"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49"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49"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292" t="s">
        <v>492</v>
      </c>
      <c r="B44" s="292" t="s">
        <v>339</v>
      </c>
      <c r="C44" s="293" t="n">
        <v>500</v>
      </c>
      <c r="D44" s="294"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94"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94"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94"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294"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94"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294"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94"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94"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94"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294"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88"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294"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94"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94"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94"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294"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94"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294"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94"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94"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94"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294"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88"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294"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94"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94"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94"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294"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94"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294"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94"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94"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94"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294"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89"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295"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95"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95"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95"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295"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95"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295"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95"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95"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95"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295"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89"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295"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95"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95"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95"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295"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95"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295"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95"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95"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95"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295"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89"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49"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49"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49"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49"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49"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49"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49"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49"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49"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49"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49"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49"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49"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49"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49"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49"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49"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49"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49"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49"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49"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49"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49"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49"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49"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49"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49"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49"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49"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49"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49"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49"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49"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49"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49"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49"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49"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49"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49"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49"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49"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49"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49"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49"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49"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49"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49"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49"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49"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49"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49"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49"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49"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49"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49"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49"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49"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49"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49"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49"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296"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96"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96"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96"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296"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96"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296"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96"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96"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96"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296"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1"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296"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96"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96"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96"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296"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96"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296"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96"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96"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96"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296"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1"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296"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96"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96"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96"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296"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96"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296"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96"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96"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96"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296"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1"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296"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96"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96"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96"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296"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96"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296"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96"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96"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96"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296"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1"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296"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96"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96"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96"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296"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96"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296"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96"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96"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96"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296"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1"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49"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49"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49"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49"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49"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49"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49"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49"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49"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49"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49"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49"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49"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49"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49"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49"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49"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49"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49"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49"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49"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49"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49"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49"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49"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49"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49"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49"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49"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49"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49"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49"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49"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49"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49"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49"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49"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49"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49"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49"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49"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49"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49"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49"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49"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49"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49"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49"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49"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49"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49"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49"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49"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49"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49"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49"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49"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49"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49"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49"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57" t="s">
        <v>493</v>
      </c>
      <c r="B45" s="257" t="s">
        <v>339</v>
      </c>
      <c r="C45" s="261" t="n">
        <v>550</v>
      </c>
      <c r="D45" s="262"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62"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62"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62"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62"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62"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62"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62"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62"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62"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62"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88"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62"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62"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62"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62"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62"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62"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62"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62"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62"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62"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62"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88"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62"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62"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62"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62"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62"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62"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62"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62"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62"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62"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62"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89"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0"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0"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0"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0"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0"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0"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0"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0"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0"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0"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0"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89"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0"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0"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0"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0"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0"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0"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0"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0"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0"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0"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0"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89"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49"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49"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49"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49"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49"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49"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49"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49"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49"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49"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49"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49"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49"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49"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49"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49"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49"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49"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49"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49"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49"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49"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49"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49"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49"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49"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49"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49"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49"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49"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49"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49"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49"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49"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49"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49"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49"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49"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49"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49"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49"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49"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49"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49"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49"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49"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49"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49"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49"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49"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49"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49"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49"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49"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49"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49"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49"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49"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49"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49"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49"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49"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49"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49"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49"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49"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49"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49"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49"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49"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49"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1"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49"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49"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49"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49"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49"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49"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49"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49"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49"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49"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49"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1"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49"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49"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49"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49"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49"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49"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49"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49"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49"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49"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49"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1"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49"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49"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49"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49"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49"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49"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49"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49"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49"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49"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49"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1"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49"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49"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49"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49"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49"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49"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49"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49"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49"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49"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49"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1"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49"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49"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49"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49"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49"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49"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49"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49"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49"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49"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49"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49"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49"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49"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49"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49"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49"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49"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49"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49"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49"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49"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49"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49"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49"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49"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49"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49"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49"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49"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49"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49"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49"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49"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49"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49"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49"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49"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49"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49"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49"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49"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49"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49"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49"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49"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49"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49"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49"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49"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49"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49"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49"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49"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49"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49"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49"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49"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49"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49"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292" t="s">
        <v>494</v>
      </c>
      <c r="B46" s="292" t="s">
        <v>339</v>
      </c>
      <c r="C46" s="293" t="n">
        <v>600</v>
      </c>
      <c r="D46" s="294"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94"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94"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94"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294"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94"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294"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94"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94"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94"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294"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88"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294"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94"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94"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94"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294"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94"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294"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94"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94"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94"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294"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88"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294"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94"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94"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94"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294"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94"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294"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94"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94"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94"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294"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89"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295"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95"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95"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95"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295"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95"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295"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95"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95"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95"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295"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89"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295"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95"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95"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95"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295"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95"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295"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95"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95"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95"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295"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89"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49"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49"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49"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49"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49"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49"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49"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49"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49"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49"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49"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49"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49"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49"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49"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49"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49"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49"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49"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49"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49"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49"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49"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49"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49"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49"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49"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49"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49"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49"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49"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49"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49"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49"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49"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49"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49"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49"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49"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49"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49"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49"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49"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49"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49"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49"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49"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49"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49"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49"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49"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49"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49"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49"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49"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49"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49"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49"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49"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49"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296"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96"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96"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96"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296"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96"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296"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96"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96"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96"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296"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1"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296"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96"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96"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96"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296"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96"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296"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96"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96"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96"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296"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1"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296"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96"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96"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96"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296"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96"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296"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96"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96"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96"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296"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1"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296"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96"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96"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96"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296"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96"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296"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96"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96"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96"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296"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1"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296"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96"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96"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96"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296"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96"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296"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96"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96"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96"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296"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1"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49"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49"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49"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49"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49"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49"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49"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49"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49"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49"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49"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49"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49"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49"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49"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49"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49"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49"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49"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49"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49"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49"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49"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49"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49"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49"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49"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49"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49"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49"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49"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49"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49"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49"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49"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49"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49"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49"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49"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49"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49"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49"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49"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49"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49"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49"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49"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49"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49"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49"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49"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49"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49"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49"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49"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49"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49"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49"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49"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49"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57" t="s">
        <v>495</v>
      </c>
      <c r="B47" s="257" t="s">
        <v>339</v>
      </c>
      <c r="C47" s="261" t="n">
        <v>650</v>
      </c>
      <c r="D47" s="262"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62"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62"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62"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62"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62"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62"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62"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62"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62"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62"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88"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62"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62"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62"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62"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62"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62"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62"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62"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62"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62"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62"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88"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62"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62"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62"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62"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62"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62"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62"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62"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62"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62"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62"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89"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0"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0"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0"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0"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0"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0"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0"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0"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0"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0"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0"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89"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0"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0"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0"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0"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0"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0"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0"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0"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0"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0"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0"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89"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49"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49"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49"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49"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49"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49"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49"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49"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49"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49"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49"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49"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49"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49"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49"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49"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49"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49"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49"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49"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49"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49"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49"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49"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49"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49"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49"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49"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49"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49"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49"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49"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49"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49"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49"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49"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49"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49"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49"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49"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49"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49"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49"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49"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49"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49"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49"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49"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49"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49"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49"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49"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49"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49"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49"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49"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49"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49"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49"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49"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49"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49"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49"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49"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49"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49"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49"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49"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49"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49"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49"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1"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49"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49"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49"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49"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49"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49"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49"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49"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49"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49"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49"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1"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49"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49"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49"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49"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49"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49"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49"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49"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49"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49"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49"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1"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49"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49"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49"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49"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49"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49"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49"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49"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49"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49"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49"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1"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49"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49"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49"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49"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49"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49"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49"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49"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49"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49"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49"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1"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49"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49"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49"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49"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49"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49"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49"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49"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49"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49"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49"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49"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49"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49"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49"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49"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49"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49"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49"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49"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49"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49"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49"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49"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49"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49"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49"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49"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49"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49"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49"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49"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49"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49"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49"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49"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49"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49"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49"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49"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49"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49"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49"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49"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49"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49"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49"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49"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49"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49"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49"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49"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49"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49"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49"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49"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49"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49"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49"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49"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292" t="s">
        <v>496</v>
      </c>
      <c r="B48" s="292" t="s">
        <v>339</v>
      </c>
      <c r="C48" s="293" t="n">
        <v>700</v>
      </c>
      <c r="D48" s="294"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94"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94"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94"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294"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94"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294"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94"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94"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94"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294"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88"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294"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94"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94"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94"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294"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94"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294"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94"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94"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94"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294"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88"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294"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94"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94"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94"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294"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94"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294"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94"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94"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94"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294"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89"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295"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95"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95"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95"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295"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95"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295"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95"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95"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95"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295"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89"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295"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95"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95"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95"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295"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95"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295"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95"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95"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95"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295"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89"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49"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49"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49"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49"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49"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49"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49"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49"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49"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49"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49"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49"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49"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49"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49"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49"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49"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49"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49"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49"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49"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49"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49"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49"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49"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49"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49"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49"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49"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49"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49"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49"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49"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49"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49"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49"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49"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49"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49"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49"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49"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49"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49"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49"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49"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49"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49"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49"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49"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49"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49"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49"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49"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49"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49"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49"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49"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49"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49"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49"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296"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96"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96"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96"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296"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96"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296"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96"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96"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96"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296"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1"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296"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96"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96"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96"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296"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96"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296"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96"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96"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96"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296"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1"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296"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96"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96"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96"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296"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96"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296"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96"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96"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96"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296"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1"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296"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96"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96"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96"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296"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96"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296"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96"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96"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96"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296"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1"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296"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96"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96"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96"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296"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96"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296"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96"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96"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96"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296"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1"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49"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49"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49"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49"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49"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49"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49"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49"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49"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49"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49"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49"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49"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49"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49"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49"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49"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49"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49"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49"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49"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49"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49"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49"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49"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49"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49"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49"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49"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49"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49"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49"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49"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49"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49"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49"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49"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49"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49"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49"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49"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49"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49"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49"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49"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49"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49"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49"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49"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49"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49"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49"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49"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49"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49"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49"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49"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49"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49"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49"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57" t="s">
        <v>497</v>
      </c>
      <c r="B49" s="257" t="s">
        <v>339</v>
      </c>
      <c r="C49" s="261" t="n">
        <v>750</v>
      </c>
      <c r="D49" s="262"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62"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62"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62"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62"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62"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62"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62"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62"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62"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62"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88"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62"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62"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62"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62"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62"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62"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62"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62"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62"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62"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62"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88"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62"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62"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62"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62"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62"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62"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62"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62"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62"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62"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62"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89"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0"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0"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0"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0"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0"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0"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0"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0"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0"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0"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0"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89"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0"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0"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0"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0"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0"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0"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0"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0"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0"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0"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0"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89"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49"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49"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49"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49"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49"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49"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49"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49"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49"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49"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49"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49"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49"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49"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49"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49"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49"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49"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49"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49"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49"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49"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49"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49"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49"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49"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49"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49"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49"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49"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49"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49"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49"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49"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49"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49"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49"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49"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49"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49"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49"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49"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49"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49"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49"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49"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49"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49"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49"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49"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49"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49"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49"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49"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49"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49"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49"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49"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49"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49"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49"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49"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49"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49"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49"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49"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49"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49"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49"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49"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49"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1"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49"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49"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49"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49"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49"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49"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49"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49"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49"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49"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49"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1"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49"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49"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49"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49"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49"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49"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49"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49"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49"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49"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49"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1"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49"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49"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49"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49"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49"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49"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49"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49"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49"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49"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49"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1"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49"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49"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49"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49"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49"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49"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49"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49"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49"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49"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49"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1"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49"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49"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49"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49"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49"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49"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49"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49"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49"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49"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49"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49"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49"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49"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49"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49"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49"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49"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49"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49"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49"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49"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49"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49"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49"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49"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49"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49"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49"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49"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49"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49"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49"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49"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49"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49"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49"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49"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49"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49"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49"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49"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49"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49"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49"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49"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49"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49"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49"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49"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49"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49"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49"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49"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49"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49"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49"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49"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49"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49"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79" t="s">
        <v>498</v>
      </c>
      <c r="B50" s="280" t="s">
        <v>499</v>
      </c>
      <c r="C50" s="281" t="n">
        <v>800</v>
      </c>
      <c r="D50" s="282"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82"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82"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82"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82"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82"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82"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82"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82"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82"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82"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8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82"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82"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82"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82"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82"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82"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82"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82"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82"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82"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82"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8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82"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82"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82"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82"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82"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82"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82"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82"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82"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82"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82"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8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85"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85"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85"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85"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85"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85"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85"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85"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85"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85"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85"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8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85"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85"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85"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85"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85"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85"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85"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85"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85"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85"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85"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8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49"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49"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49"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49"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49"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49"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49"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49"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49"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49"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49"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49"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49"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49"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49"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49"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49"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49"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49"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49"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49"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49"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49"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49"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49"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49"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49"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49"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49"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49"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49"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49"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49"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49"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49"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49"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49"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49"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49"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49"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49"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49"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49"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49"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49"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49"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49"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49"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49"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49"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49"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49"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49"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49"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49"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49"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49"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49"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49"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49"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86"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86"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86"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86"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86"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86"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86"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86"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86"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86"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86"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87"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86"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86"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86"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86"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86"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86"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86"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86"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86"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86"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86"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87"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86"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86"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86"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86"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86"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86"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86"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86"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86"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86"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86"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87"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86"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86"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86"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86"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86"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86"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86"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86"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86"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86"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86"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87"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86"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86"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86"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86"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86"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86"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86"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86"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86"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86"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86"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87"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49"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49"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49"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49"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49"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49"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49"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49"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49"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49"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49"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49"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49"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49"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49"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49"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49"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49"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49"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49"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49"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49"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49"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49"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49"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49"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49"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49"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49"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49"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49"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49"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49"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49"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49"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49"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49"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49"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49"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49"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49"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49"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49"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49"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49"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49"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49"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49"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49"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49"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49"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49"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49"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49"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49"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49"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49"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49"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49"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49"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57" t="s">
        <v>500</v>
      </c>
      <c r="B51" s="257" t="s">
        <v>339</v>
      </c>
      <c r="C51" s="261" t="n">
        <v>850</v>
      </c>
      <c r="D51" s="262"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62"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62"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62"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62"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62"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62"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62"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62"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62"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62"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88"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62"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62"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62"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62"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62"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62"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62"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62"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62"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62"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62"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88"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62"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62"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62"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62"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62"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62"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62"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62"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62"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62"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62"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89"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0"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0"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0"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0"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0"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0"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0"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0"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0"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0"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0"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89"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0"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0"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0"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0"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0"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0"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0"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0"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0"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0"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0"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89"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49"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49"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49"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49"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49"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49"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49"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49"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49"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49"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49"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49"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49"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49"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49"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49"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49"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49"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49"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49"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49"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49"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49"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49"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49"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49"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49"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49"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49"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49"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49"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49"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49"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49"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49"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49"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49"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49"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49"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49"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49"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49"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49"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49"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49"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49"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49"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49"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49"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49"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49"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49"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49"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49"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49"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49"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49"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49"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49"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49"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49"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49"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49"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49"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49"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49"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49"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49"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49"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49"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49"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1"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49"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49"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49"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49"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49"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49"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49"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49"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49"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49"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49"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1"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49"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49"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49"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49"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49"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49"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49"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49"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49"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49"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49"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1"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49"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49"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49"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49"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49"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49"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49"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49"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49"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49"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49"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1"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49"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49"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49"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49"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49"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49"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49"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49"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49"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49"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49"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1"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49"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49"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49"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49"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49"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49"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49"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49"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49"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49"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49"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49"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49"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49"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49"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49"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49"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49"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49"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49"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49"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49"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49"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49"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49"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49"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49"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49"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49"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49"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49"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49"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49"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49"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49"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49"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49"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49"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49"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49"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49"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49"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49"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49"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49"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49"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49"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49"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49"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49"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49"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49"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49"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49"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49"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49"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49"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49"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49"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49"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292" t="s">
        <v>501</v>
      </c>
      <c r="B52" s="292" t="s">
        <v>339</v>
      </c>
      <c r="C52" s="293" t="n">
        <v>900</v>
      </c>
      <c r="D52" s="294"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94"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94"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94"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294"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94"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294"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94"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94"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94"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294"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88"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294"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94"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94"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94"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294"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94"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294"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94"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94"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94"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294"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88"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294"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94"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94"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94"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294"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94"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294"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94"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94"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94"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294"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89"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295"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95"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95"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95"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295"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95"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295"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95"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95"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95"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295"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89"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295"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95"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95"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95"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295"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95"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295"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95"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95"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95"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295"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89"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49"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49"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49"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49"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49"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49"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49"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49"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49"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49"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49"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49"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49"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49"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49"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49"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49"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49"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49"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49"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49"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49"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49"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49"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49"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49"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49"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49"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49"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49"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49"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49"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49"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49"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49"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49"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49"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49"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49"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49"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49"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49"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49"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49"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49"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49"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49"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49"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49"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49"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49"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49"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49"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49"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49"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49"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49"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49"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49"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49"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296"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96"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96"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96"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296"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96"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296"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96"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96"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96"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296"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1"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296"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96"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96"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96"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296"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96"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296"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96"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96"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96"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296"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1"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296"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96"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96"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96"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296"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96"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296"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96"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96"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96"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296"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1"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296"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96"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96"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96"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296"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96"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296"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96"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96"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96"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296"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1"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296"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96"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96"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96"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296"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96"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296"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96"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96"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96"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296"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1"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49"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49"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49"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49"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49"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49"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49"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49"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49"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49"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49"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49"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49"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49"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49"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49"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49"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49"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49"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49"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49"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49"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49"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49"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49"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49"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49"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49"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49"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49"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49"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49"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49"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49"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49"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49"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49"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49"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49"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49"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49"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49"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49"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49"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49"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49"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49"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49"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49"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49"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49"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49"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49"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49"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49"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49"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49"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49"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49"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49"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57" t="s">
        <v>502</v>
      </c>
      <c r="B53" s="257" t="s">
        <v>339</v>
      </c>
      <c r="C53" s="261" t="n">
        <v>950</v>
      </c>
      <c r="D53" s="262"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62"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62"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62"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62"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62"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62"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62"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62"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62"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62"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88"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62"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62"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62"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62"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62"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62"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62"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62"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62"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62"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62"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88"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62"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62"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62"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62"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62"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62"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62"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62"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62"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62"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62"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89"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0"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0"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0"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0"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0"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0"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0"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0"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0"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0"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0"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89"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0"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0"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0"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0"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0"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0"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0"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0"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0"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0"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0"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89"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49"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49"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49"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49"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49"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49"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49"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49"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49"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49"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49"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49"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49"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49"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49"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49"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49"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49"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49"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49"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49"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49"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49"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49"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49"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49"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49"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49"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49"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49"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49"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49"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49"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49"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49"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49"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49"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49"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49"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49"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49"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49"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49"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49"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49"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49"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49"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49"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49"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49"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49"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49"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49"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49"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49"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49"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49"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49"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49"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49"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49"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49"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49"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49"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49"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49"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49"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49"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49"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49"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49"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1"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49"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49"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49"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49"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49"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49"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49"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49"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49"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49"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49"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1"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49"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49"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49"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49"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49"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49"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49"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49"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49"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49"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49"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1"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49"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49"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49"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49"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49"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49"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49"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49"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49"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49"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49"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1"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49"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49"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49"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49"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49"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49"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49"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49"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49"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49"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49"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1"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49"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49"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49"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49"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49"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49"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49"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49"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49"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49"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49"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49"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49"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49"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49"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49"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49"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49"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49"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49"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49"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49"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49"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49"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49"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49"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49"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49"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49"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49"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49"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49"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49"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49"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49"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49"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49"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49"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49"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49"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49"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49"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49"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49"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49"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49"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49"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49"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49"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49"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49"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49"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49"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49"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49"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49"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49"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49"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49"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49"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292" t="s">
        <v>503</v>
      </c>
      <c r="B54" s="292" t="s">
        <v>339</v>
      </c>
      <c r="C54" s="293" t="n">
        <v>1000</v>
      </c>
      <c r="D54" s="294"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94"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94"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94"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294"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94"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294"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94"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94"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94"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294"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88"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294"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94"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94"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94"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294"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94"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294"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94"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94"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94"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294"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88"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294"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94"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94"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94"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294"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94"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294"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94"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94"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94"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294"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89"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295"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95"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95"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95"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295"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95"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295"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95"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95"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95"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295"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89"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295"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95"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95"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95"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295"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95"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295"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95"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95"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95"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295"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89"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49"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49"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49"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49"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49"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49"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49"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49"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49"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49"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49"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49"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49"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49"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49"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49"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49"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49"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49"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49"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49"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49"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49"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49"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49"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49"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49"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49"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49"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49"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49"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49"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49"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49"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49"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49"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49"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49"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49"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49"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49"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49"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49"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49"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49"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49"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49"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49"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49"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49"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49"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49"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49"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49"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49"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49"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49"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49"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49"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49"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296"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96"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96"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96"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296"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96"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296"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96"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96"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96"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296"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1"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296"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96"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96"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96"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296"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96"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296"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96"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96"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96"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296"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1"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296"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96"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96"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96"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296"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96"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296"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96"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96"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96"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296"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1"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296"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96"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96"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96"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296"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96"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296"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96"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96"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96"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296"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1"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296"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96"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96"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96"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296"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96"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296"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96"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96"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96"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296"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1"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49"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49"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49"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49"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49"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49"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49"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49"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49"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49"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49"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49"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49"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49"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49"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49"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49"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49"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49"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49"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49"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49"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49"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49"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49"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49"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49"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49"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49"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49"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49"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49"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49"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49"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49"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49"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49"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49"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49"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49"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49"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49"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49"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49"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49"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49"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49"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49"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49"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49"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49"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49"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49"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49"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49"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49"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49"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49"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49"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49"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57" t="s">
        <v>504</v>
      </c>
      <c r="B55" s="257" t="s">
        <v>339</v>
      </c>
      <c r="C55" s="261" t="n">
        <v>1050</v>
      </c>
      <c r="D55" s="262"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62"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62"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62"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62"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62"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62"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62"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62"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62"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62"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88"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62"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62"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62"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62"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62"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62"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62"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62"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62"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62"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62"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88"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62"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62"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62"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62"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62"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62"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62"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62"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62"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62"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62"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89"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0"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0"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0"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0"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0"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0"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0"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0"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0"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0"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0"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89"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0"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0"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0"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0"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0"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0"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0"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0"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0"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0"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0"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89"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49"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49"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49"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49"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49"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49"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49"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49"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49"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49"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49"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49"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49"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49"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49"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49"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49"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49"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49"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49"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49"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49"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49"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49"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49"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49"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49"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49"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49"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49"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49"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49"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49"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49"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49"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49"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49"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49"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49"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49"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49"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49"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49"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49"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49"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49"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49"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49"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49"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49"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49"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49"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49"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49"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49"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49"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49"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49"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49"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49"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49"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49"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49"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49"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49"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49"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49"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49"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49"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49"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49"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1"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49"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49"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49"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49"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49"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49"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49"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49"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49"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49"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49"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1"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49"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49"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49"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49"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49"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49"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49"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49"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49"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49"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49"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1"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49"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49"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49"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49"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49"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49"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49"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49"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49"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49"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49"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1"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49"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49"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49"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49"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49"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49"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49"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49"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49"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49"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49"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1"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49"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49"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49"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49"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49"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49"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49"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49"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49"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49"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49"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49"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49"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49"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49"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49"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49"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49"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49"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49"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49"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49"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49"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49"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49"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49"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49"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49"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49"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49"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49"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49"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49"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49"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49"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49"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49"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49"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49"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49"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49"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49"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49"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49"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49"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49"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49"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49"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49"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49"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49"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49"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49"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49"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49"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49"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49"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49"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49"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49"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292" t="s">
        <v>505</v>
      </c>
      <c r="B56" s="292" t="s">
        <v>339</v>
      </c>
      <c r="C56" s="293" t="n">
        <v>1100</v>
      </c>
      <c r="D56" s="294"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94"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94"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94"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294"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94"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294"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94"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94"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94"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294"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88"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294"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94"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94"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94"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294"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94"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294"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94"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94"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94"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294"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88"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294"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94"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94"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94"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294"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94"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294"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94"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94"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94"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294"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89"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295"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95"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95"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95"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295"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95"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295"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95"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95"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95"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295"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89"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295"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95"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95"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95"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295"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95"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295"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95"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95"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95"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295"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89"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49"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49"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49"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49"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49"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49"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49"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49"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49"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49"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49"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49"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49"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49"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49"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49"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49"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49"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49"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49"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49"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49"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49"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49"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49"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49"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49"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49"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49"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49"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49"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49"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49"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49"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49"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49"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49"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49"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49"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49"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49"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49"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49"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49"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49"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49"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49"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49"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49"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49"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49"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49"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49"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49"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49"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49"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49"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49"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49"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49"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296"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96"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96"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96"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296"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96"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296"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96"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96"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96"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296"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1"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296"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96"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96"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96"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296"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96"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296"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96"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96"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96"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296"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1"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296"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96"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96"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96"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296"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96"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296"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96"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96"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96"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296"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1"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296"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96"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96"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96"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296"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96"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296"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96"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96"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96"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296"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1"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296"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96"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96"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96"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296"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96"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296"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96"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96"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96"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296"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1"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49"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49"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49"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49"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49"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49"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49"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49"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49"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49"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49"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49"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49"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49"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49"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49"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49"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49"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49"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49"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49"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49"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49"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49"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49"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49"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49"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49"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49"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49"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49"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49"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49"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49"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49"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49"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49"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49"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49"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49"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49"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49"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49"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49"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49"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49"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49"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49"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49"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49"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49"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49"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49"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49"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49"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49"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49"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49"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49"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49"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57" t="s">
        <v>506</v>
      </c>
      <c r="B57" s="257" t="s">
        <v>339</v>
      </c>
      <c r="C57" s="261" t="n">
        <v>1150</v>
      </c>
      <c r="D57" s="262"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62"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62"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62"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62"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62"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62"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62"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62"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62"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62"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88"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62"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62"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62"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62"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62"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62"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62"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62"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62"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62"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62"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88"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62"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62"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62"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62"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62"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62"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62"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62"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62"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62"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62"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89"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0"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0"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0"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0"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0"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0"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0"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0"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0"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0"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0"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89"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0"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0"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0"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0"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0"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0"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0"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0"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0"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0"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0"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89"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49"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49"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49"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49"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49"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49"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49"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49"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49"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49"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49"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49"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49"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49"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49"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49"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49"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49"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49"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49"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49"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49"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49"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49"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49"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49"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49"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49"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49"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49"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49"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49"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49"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49"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49"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49"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49"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49"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49"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49"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49"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49"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49"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49"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49"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49"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49"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49"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49"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49"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49"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49"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49"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49"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49"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49"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49"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49"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49"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49"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49"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49"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49"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49"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49"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49"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49"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49"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49"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49"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49"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1"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49"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49"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49"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49"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49"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49"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49"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49"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49"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49"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49"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1"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49"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49"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49"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49"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49"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49"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49"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49"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49"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49"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49"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1"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49"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49"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49"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49"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49"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49"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49"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49"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49"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49"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49"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1"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49"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49"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49"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49"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49"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49"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49"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49"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49"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49"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49"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1"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49"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49"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49"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49"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49"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49"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49"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49"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49"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49"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49"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49"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49"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49"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49"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49"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49"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49"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49"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49"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49"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49"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49"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49"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49"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49"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49"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49"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49"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49"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49"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49"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49"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49"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49"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49"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49"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49"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49"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49"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49"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49"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49"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49"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49"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49"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49"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49"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49"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49"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49"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49"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49"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49"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49"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49"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49"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49"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49"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49"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292" t="s">
        <v>507</v>
      </c>
      <c r="B58" s="292" t="s">
        <v>339</v>
      </c>
      <c r="C58" s="293" t="n">
        <v>1200</v>
      </c>
      <c r="D58" s="294"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94"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94"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94"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294"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94"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294"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94"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94"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94"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294"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88"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294"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94"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94"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94"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294"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94"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294"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94"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94"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94"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294"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88"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294"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94"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94"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94"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294"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94"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294"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94"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94"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94"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294"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89"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295"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95"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95"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95"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295"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95"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295"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95"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95"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95"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295"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89"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295"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95"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95"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95"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295"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95"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295"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95"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95"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95"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295"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89"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49"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49"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49"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49"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49"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49"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49"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49"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49"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49"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49"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49"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49"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49"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49"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49"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49"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49"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49"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49"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49"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49"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49"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49"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49"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49"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49"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49"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49"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49"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49"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49"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49"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49"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49"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49"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49"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49"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49"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49"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49"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49"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49"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49"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49"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49"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49"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49"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49"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49"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49"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49"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49"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49"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49"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49"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49"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49"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49"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49"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296"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96"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96"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96"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296"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96"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296"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96"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96"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96"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296"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1"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296"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96"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96"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96"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296"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96"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296"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96"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96"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96"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296"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1"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296"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96"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96"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96"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296"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96"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296"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96"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96"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96"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296"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1"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296"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96"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96"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96"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296"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96"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296"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96"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96"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96"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296"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1"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296"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96"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96"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96"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296"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96"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296"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96"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96"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96"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296"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1"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49"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49"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49"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49"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49"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49"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49"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49"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49"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49"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49"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49"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49"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49"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49"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49"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49"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49"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49"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49"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49"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49"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49"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49"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49"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49"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49"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49"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49"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49"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49"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49"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49"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49"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49"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49"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49"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49"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49"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49"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49"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49"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49"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49"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49"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49"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49"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49"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49"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49"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49"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49"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49"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49"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49"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49"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49"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49"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49"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49"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79" t="s">
        <v>508</v>
      </c>
      <c r="B59" s="280" t="s">
        <v>486</v>
      </c>
      <c r="C59" s="281" t="n">
        <v>1250</v>
      </c>
      <c r="D59" s="282"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82"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82"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82"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82"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82"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82"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82"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82"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82"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82"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8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82"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82"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82"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82"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82"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82"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82"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82"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82"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82"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82"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8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82"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82"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82"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82"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82"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82"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82"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82"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82"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82"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82"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8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85"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85"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85"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85"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85"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85"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85"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85"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85"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85"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85"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8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85"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85"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85"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85"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85"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85"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85"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85"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85"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85"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85"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8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49"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49"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49"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49"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49"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49"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49"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49"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49"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49"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49"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49"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49"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49"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49"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49"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49"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49"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49"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49"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49"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49"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49"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49"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49"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49"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49"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49"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49"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49"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49"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49"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49"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49"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49"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49"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49"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49"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49"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49"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49"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49"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49"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49"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49"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49"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49"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49"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49"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49"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49"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49"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49"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49"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49"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49"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49"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49"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49"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49"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86"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86"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86"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86"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86"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86"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86"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86"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86"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86"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86"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87"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86"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86"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86"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86"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86"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86"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86"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86"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86"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86"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86"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87"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86"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86"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86"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86"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86"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86"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86"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86"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86"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86"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86"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87"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86"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86"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86"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86"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86"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86"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86"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86"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86"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86"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86"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87"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86"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86"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86"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86"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86"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86"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86"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86"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86"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86"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86"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87"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49"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49"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49"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49"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49"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49"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49"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49"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49"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49"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49"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49"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49"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49"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49"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49"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49"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49"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49"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49"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49"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49"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49"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49"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49"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49"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49"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49"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49"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49"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49"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49"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49"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49"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49"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49"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49"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49"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49"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49"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49"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49"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49"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49"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49"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49"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49"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49"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49"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49"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49"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49"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49"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49"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49"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49"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49"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49"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49"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49"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292" t="s">
        <v>509</v>
      </c>
      <c r="B60" s="292" t="s">
        <v>339</v>
      </c>
      <c r="C60" s="293" t="n">
        <v>1300</v>
      </c>
      <c r="D60" s="294"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94"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94"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94"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294"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94"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294"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94"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94"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94"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294"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88"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294"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94"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94"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94"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294"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94"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294"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94"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94"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94"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294"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88"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294"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94"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94"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94"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294"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94"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294"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94"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94"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94"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294"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89"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295"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95"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95"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95"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295"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95"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295"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95"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95"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95"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295"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89"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295"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95"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95"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95"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295"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95"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295"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95"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95"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95"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295"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89"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49"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49"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49"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49"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49"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49"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49"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49"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49"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49"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49"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49"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49"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49"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49"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49"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49"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49"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49"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49"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49"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49"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49"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49"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49"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49"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49"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49"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49"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49"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49"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49"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49"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49"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49"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49"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49"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49"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49"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49"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49"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49"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49"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49"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49"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49"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49"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49"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49"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49"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49"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49"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49"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49"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49"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49"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49"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49"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49"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49"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296"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96"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96"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96"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296"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96"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296"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96"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96"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96"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296"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1"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296"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96"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96"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96"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296"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96"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296"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96"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96"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96"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296"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1"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296"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96"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96"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96"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296"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96"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296"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96"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96"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96"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296"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1"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296"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96"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96"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96"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296"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96"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296"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96"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96"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96"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296"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1"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296"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96"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96"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96"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296"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96"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296"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96"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96"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96"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296"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1"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49"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49"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49"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49"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49"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49"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49"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49"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49"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49"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49"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49"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49"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49"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49"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49"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49"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49"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49"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49"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49"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49"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49"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49"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49"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49"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49"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49"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49"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49"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49"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49"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49"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49"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49"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49"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49"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49"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49"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49"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49"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49"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49"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49"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49"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49"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49"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49"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49"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49"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49"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49"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49"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49"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49"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49"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49"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49"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49"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49"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57" t="s">
        <v>510</v>
      </c>
      <c r="B61" s="257" t="s">
        <v>339</v>
      </c>
      <c r="C61" s="261" t="n">
        <v>1350</v>
      </c>
      <c r="D61" s="262"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62"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62"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62"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62"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62"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62"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62"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62"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62"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62"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88"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62"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62"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62"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62"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62"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62"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62"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62"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62"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62"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62"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88"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62"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62"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62"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62"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62"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62"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62"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62"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62"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62"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62"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89"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0"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0"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0"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0"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0"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0"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0"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0"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0"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0"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0"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89"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0"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0"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0"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0"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0"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0"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0"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0"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0"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0"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0"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89"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49"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49"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49"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49"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49"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49"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49"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49"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49"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49"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49"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49"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49"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49"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49"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49"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49"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49"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49"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49"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49"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49"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49"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49"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49"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49"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49"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49"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49"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49"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49"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49"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49"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49"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49"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49"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49"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49"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49"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49"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49"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49"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49"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49"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49"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49"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49"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49"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49"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49"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49"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49"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49"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49"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49"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49"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49"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49"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49"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49"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49"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49"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49"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49"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49"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49"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49"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49"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49"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49"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49"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1"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49"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49"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49"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49"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49"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49"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49"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49"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49"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49"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49"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1"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49"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49"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49"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49"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49"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49"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49"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49"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49"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49"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49"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1"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49"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49"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49"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49"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49"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49"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49"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49"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49"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49"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49"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1"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49"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49"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49"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49"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49"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49"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49"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49"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49"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49"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49"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1"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49"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49"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49"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49"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49"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49"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49"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49"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49"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49"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49"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49"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49"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49"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49"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49"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49"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49"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49"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49"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49"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49"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49"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49"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49"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49"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49"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49"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49"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49"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49"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49"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49"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49"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49"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49"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49"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49"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49"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49"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49"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49"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49"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49"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49"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49"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49"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49"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49"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49"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49"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49"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49"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49"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49"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49"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49"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49"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49"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49"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292" t="s">
        <v>511</v>
      </c>
      <c r="B62" s="292" t="s">
        <v>339</v>
      </c>
      <c r="C62" s="293" t="n">
        <v>1400</v>
      </c>
      <c r="D62" s="294"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94"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94"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94"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294"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94"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294"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94"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94"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94"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294"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88"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294"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94"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94"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94"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294"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94"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294"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94"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94"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94"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294"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88"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294"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94"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94"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94"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294"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94"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294"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94"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94"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94"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294"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89"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295"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95"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95"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95"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295"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95"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295"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95"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95"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95"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295"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89"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295"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95"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95"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95"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295"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95"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295"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95"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95"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95"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295"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89"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49"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49"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49"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49"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49"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49"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49"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49"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49"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49"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49"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49"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49"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49"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49"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49"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49"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49"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49"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49"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49"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49"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49"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49"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49"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49"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49"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49"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49"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49"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49"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49"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49"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49"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49"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49"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49"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49"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49"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49"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49"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49"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49"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49"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49"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49"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49"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49"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49"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49"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49"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49"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49"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49"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49"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49"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49"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49"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49"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49"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296"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96"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96"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96"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296"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96"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296"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96"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96"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96"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296"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1"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296"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96"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96"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96"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296"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96"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296"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96"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96"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96"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296"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1"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296"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96"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96"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96"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296"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96"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296"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96"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96"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96"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296"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1"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296"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96"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96"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96"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296"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96"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296"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96"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96"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96"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296"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1"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296"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96"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96"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96"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296"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96"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296"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96"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96"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96"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296"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1"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49"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49"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49"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49"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49"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49"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49"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49"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49"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49"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49"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49"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49"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49"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49"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49"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49"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49"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49"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49"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49"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49"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49"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49"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49"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49"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49"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49"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49"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49"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49"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49"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49"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49"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49"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49"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49"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49"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49"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49"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49"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49"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49"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49"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49"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49"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49"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49"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49"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49"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49"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49"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49"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49"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49"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49"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49"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49"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49"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49"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57" t="s">
        <v>512</v>
      </c>
      <c r="B63" s="257" t="s">
        <v>339</v>
      </c>
      <c r="C63" s="261" t="n">
        <v>1450</v>
      </c>
      <c r="D63" s="262"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62"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62"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62"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62"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62"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62"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62"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62"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62"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62"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88"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62"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62"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62"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62"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62"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62"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62"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62"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62"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62"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62"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88"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62"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62"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62"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62"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62"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62"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62"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62"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62"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62"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62"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89"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0"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0"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0"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0"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0"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0"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0"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0"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0"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0"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0"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89"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0"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0"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0"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0"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0"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0"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0"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0"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0"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0"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0"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89"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49"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49"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49"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49"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49"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49"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49"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49"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49"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49"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49"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49"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49"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49"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49"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49"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49"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49"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49"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49"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49"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49"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49"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49"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49"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49"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49"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49"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49"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49"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49"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49"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49"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49"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49"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49"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49"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49"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49"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49"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49"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49"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49"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49"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49"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49"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49"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49"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49"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49"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49"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49"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49"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49"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49"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49"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49"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49"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49"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49"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49"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49"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49"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49"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49"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49"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49"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49"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49"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49"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49"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1"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49"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49"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49"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49"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49"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49"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49"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49"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49"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49"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49"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1"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49"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49"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49"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49"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49"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49"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49"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49"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49"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49"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49"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1"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49"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49"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49"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49"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49"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49"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49"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49"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49"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49"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49"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1"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49"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49"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49"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49"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49"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49"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49"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49"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49"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49"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49"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1"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49"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49"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49"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49"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49"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49"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49"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49"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49"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49"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49"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49"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49"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49"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49"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49"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49"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49"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49"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49"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49"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49"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49"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49"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49"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49"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49"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49"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49"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49"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49"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49"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49"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49"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49"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49"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49"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49"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49"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49"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49"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49"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49"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49"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49"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49"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49"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49"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49"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49"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49"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49"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49"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49"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49"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49"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49"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49"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49"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49"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292" t="s">
        <v>513</v>
      </c>
      <c r="B64" s="292" t="s">
        <v>339</v>
      </c>
      <c r="C64" s="293" t="n">
        <v>1500</v>
      </c>
      <c r="D64" s="294"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94"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94"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94"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294"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94"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294"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94"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94"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94"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294"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88"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294"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94"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94"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94"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294"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94"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294"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94"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94"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94"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294"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88"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294"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94"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94"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94"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294"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94"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294"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94"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94"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94"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294"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89"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295"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95"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95"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95"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295"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95"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295"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95"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95"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95"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295"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89"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295"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95"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95"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95"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295"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95"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295"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95"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95"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95"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295"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89"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49"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49"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49"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49"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49"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49"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49"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49"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49"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49"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49"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49"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49"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49"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49"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49"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49"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49"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49"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49"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49"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49"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49"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49"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49"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49"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49"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49"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49"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49"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49"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49"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49"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49"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49"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49"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49"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49"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49"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49"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49"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49"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49"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49"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49"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49"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49"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49"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49"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49"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49"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49"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49"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49"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49"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49"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49"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49"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49"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49"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296"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96"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96"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96"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296"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96"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296"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96"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96"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96"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296"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1"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296"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96"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96"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96"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296"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96"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296"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96"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96"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96"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296"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1"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296"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96"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96"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96"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296"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96"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296"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96"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96"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96"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296"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1"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296"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96"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96"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96"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296"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96"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296"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96"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96"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96"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296"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1"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296"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96"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96"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96"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296"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96"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296"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96"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96"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96"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296"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1"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49"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49"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49"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49"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49"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49"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49"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49"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49"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49"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49"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49"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49"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49"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49"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49"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49"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49"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49"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49"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49"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49"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49"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49"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49"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49"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49"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49"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49"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49"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49"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49"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49"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49"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49"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49"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49"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49"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49"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49"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49"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49"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49"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49"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49"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49"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49"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49"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49"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49"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49"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49"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49"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49"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49"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49"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49"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49"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49"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49"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57" t="s">
        <v>514</v>
      </c>
      <c r="B65" s="257" t="s">
        <v>339</v>
      </c>
      <c r="C65" s="261" t="n">
        <v>1550</v>
      </c>
      <c r="D65" s="262"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62"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62"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62"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62"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62"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62"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62"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62"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62"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62"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88"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62"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62"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62"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62"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62"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62"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62"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62"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62"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62"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62"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88"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62"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62"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62"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62"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62"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62"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62"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62"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62"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62"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62"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89"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0"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0"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0"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0"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0"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0"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0"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0"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0"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0"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0"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89"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0"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0"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0"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0"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0"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0"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0"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0"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0"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0"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0"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89"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49"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49"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49"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49"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49"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49"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49"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49"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49"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49"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49"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49"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49"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49"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49"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49"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49"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49"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49"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49"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49"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49"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49"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49"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49"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49"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49"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49"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49"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49"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49"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49"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49"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49"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49"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49"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49"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49"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49"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49"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49"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49"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49"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49"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49"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49"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49"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49"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49"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49"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49"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49"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49"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49"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49"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49"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49"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49"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49"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49"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49"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49"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49"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49"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49"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49"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49"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49"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49"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49"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49"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1"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49"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49"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49"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49"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49"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49"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49"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49"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49"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49"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49"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1"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49"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49"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49"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49"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49"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49"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49"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49"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49"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49"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49"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1"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49"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49"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49"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49"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49"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49"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49"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49"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49"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49"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49"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1"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49"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49"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49"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49"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49"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49"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49"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49"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49"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49"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49"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1"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49"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49"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49"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49"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49"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49"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49"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49"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49"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49"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49"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49"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49"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49"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49"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49"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49"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49"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49"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49"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49"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49"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49"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49"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49"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49"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49"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49"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49"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49"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49"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49"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49"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49"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49"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49"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49"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49"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49"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49"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49"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49"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49"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49"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49"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49"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49"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49"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49"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49"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49"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49"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49"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49"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49"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49"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49"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49"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49"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49"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292" t="s">
        <v>515</v>
      </c>
      <c r="B66" s="292" t="s">
        <v>339</v>
      </c>
      <c r="C66" s="293" t="n">
        <v>1600</v>
      </c>
      <c r="D66" s="294"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94"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94"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94"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294"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94"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294"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94"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94"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94"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294"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88"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294"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94"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94"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94"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294"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94"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294"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94"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94"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94"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294"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88"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294"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94"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94"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94"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294"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94"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294"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94"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94"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94"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294"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89"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295"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95"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95"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95"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295"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95"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295"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95"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95"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95"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295"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89"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295"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95"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95"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95"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295"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95"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295"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95"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95"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95"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295"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89"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49"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49"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49"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49"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49"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49"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49"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49"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49"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49"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49"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49"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49"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49"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49"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49"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49"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49"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49"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49"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49"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49"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49"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49"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49"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49"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49"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49"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49"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49"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49"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49"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49"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49"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49"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49"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49"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49"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49"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49"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49"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49"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49"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49"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49"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49"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49"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49"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49"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49"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49"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49"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49"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49"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49"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49"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49"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49"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49"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49"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296"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96"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96"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96"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296"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96"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296"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96"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96"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96"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296"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1"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296"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96"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96"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96"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296"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96"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296"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96"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96"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96"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296"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1"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296"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96"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96"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96"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296"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96"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296"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96"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96"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96"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296"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1"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296"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96"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96"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96"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296"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96"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296"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96"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96"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96"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296"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1"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296"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96"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96"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96"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296"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96"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296"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96"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96"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96"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296"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1"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49"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49"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49"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49"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49"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49"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49"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49"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49"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49"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49"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49"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49"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49"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49"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49"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49"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49"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49"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49"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49"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49"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49"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49"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49"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49"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49"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49"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49"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49"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49"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49"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49"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49"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49"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49"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49"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49"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49"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49"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49"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49"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49"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49"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49"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49"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49"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49"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49"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49"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49"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49"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49"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49"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49"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49"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49"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49"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49"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49"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57" t="s">
        <v>516</v>
      </c>
      <c r="B67" s="257" t="s">
        <v>339</v>
      </c>
      <c r="C67" s="261" t="n">
        <v>1650</v>
      </c>
      <c r="D67" s="262"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62"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62"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62"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62"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62"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62"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62"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62"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62"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62"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88"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62"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62"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62"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62"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62"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62"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62"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62"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62"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62"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62"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88"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62"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62"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62"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62"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62"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62"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62"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62"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62"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62"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62"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89"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0"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0"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0"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0"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0"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0"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0"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0"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0"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0"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0"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89"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0"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0"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0"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0"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0"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0"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0"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0"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0"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0"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0"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89"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49"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49"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49"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49"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49"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49"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49"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49"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49"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49"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49"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49"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49"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49"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49"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49"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49"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49"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49"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49"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49"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49"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49"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49"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49"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49"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49"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49"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49"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49"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49"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49"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49"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49"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49"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49"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49"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49"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49"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49"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49"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49"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49"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49"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49"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49"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49"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49"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49"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49"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49"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49"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49"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49"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49"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49"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49"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49"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49"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49"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49"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49"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49"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49"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49"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49"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49"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49"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49"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49"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49"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1"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49"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49"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49"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49"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49"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49"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49"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49"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49"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49"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49"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1"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49"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49"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49"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49"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49"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49"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49"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49"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49"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49"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49"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1"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49"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49"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49"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49"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49"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49"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49"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49"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49"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49"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49"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1"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49"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49"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49"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49"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49"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49"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49"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49"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49"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49"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49"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1"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49"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49"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49"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49"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49"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49"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49"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49"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49"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49"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49"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49"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49"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49"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49"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49"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49"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49"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49"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49"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49"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49"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49"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49"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49"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49"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49"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49"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49"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49"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49"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49"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49"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49"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49"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49"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49"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49"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49"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49"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49"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49"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49"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49"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49"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49"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49"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49"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49"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49"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49"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49"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49"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49"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49"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49"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49"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49"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49"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49"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292" t="s">
        <v>517</v>
      </c>
      <c r="B68" s="292" t="s">
        <v>339</v>
      </c>
      <c r="C68" s="293" t="n">
        <v>1700</v>
      </c>
      <c r="D68" s="294"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94"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94"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94"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294"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94"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294"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94"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94"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94"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294"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88"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294"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94"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94"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94"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294"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94"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294"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94"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94"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94"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294"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88"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294"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94"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94"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94"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294"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94"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294"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94"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94"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94"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294"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89"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295"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95"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95"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95"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295"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95"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295"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95"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95"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95"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295"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89"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295"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95"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95"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95"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295"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95"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295"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95"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95"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95"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295"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89"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49"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49"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49"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49"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49"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49"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49"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49"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49"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49"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49"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49"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49"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49"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49"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49"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49"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49"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49"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49"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49"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49"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49"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49"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49"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49"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49"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49"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49"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49"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49"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49"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49"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49"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49"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49"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49"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49"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49"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49"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49"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49"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49"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49"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49"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49"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49"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49"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49"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49"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49"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49"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49"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49"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49"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49"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49"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49"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49"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49"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296"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96"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96"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96"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296"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96"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296"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96"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96"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96"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296"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1"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296"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96"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96"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96"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296"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96"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296"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96"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96"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96"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296"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1"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296"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96"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96"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96"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296"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96"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296"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96"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96"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96"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296"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1"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296"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96"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96"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96"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296"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96"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296"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96"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96"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96"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296"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1"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296"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96"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96"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96"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296"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96"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296"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96"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96"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96"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296"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1"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49"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49"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49"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49"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49"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49"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49"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49"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49"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49"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49"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49"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49"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49"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49"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49"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49"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49"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49"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49"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49"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49"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49"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49"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49"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49"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49"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49"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49"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49"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49"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49"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49"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49"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49"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49"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49"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49"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49"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49"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49"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49"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49"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49"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49"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49"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49"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49"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49"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49"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49"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49"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49"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49"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49"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49"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49"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49"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49"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49"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57" t="s">
        <v>518</v>
      </c>
      <c r="B69" s="257" t="s">
        <v>339</v>
      </c>
      <c r="C69" s="261" t="n">
        <v>1750</v>
      </c>
      <c r="D69" s="262"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62"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62"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62"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62"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62"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62"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62"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62"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62"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62"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88"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62"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62"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62"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62"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62"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62"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62"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62"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62"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62"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62"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88"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62"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62"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62"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62"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62"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62"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62"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62"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62"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62"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62"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89"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0"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0"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0"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0"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0"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0"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0"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0"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0"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0"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0"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89"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0"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0"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0"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0"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0"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0"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0"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0"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0"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0"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0"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89"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49"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49"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49"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49"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49"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49"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49"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49"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49"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49"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49"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49"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49"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49"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49"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49"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49"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49"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49"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49"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49"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49"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49"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49"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49"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49"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49"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49"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49"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49"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49"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49"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49"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49"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49"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49"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49"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49"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49"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49"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49"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49"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49"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49"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49"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49"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49"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49"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49"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49"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49"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49"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49"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49"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49"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49"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49"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49"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49"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49"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49"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49"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49"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49"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49"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49"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49"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49"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49"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49"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49"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1"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49"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49"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49"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49"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49"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49"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49"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49"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49"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49"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49"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1"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49"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49"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49"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49"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49"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49"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49"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49"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49"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49"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49"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1"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49"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49"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49"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49"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49"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49"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49"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49"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49"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49"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49"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1"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49"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49"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49"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49"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49"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49"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49"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49"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49"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49"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49"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1"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49"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49"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49"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49"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49"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49"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49"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49"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49"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49"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49"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49"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49"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49"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49"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49"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49"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49"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49"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49"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49"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49"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49"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49"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49"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49"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49"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49"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49"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49"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49"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49"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49"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49"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49"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49"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49"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49"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49"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49"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49"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49"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49"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49"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49"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49"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49"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49"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49"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49"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49"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49"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49"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49"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49"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49"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49"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49"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49"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49"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79" t="s">
        <v>519</v>
      </c>
      <c r="B70" s="280" t="s">
        <v>487</v>
      </c>
      <c r="C70" s="281" t="n">
        <v>1800</v>
      </c>
      <c r="D70" s="282"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82"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82"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82"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82"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82"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82"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82"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82"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82"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82"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8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82"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82"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82"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82"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82"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82"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82"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82"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82"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82"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82"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8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82"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82"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82"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82"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82"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82"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82"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82"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82"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82"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82"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8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85"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85"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85"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85"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85"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85"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85"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85"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85"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85"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85"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8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85"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85"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85"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85"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85"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85"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85"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85"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85"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85"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85"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8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49"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49"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49"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49"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49"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49"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49"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49"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49"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49"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49"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49"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49"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49"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49"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49"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49"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49"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49"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49"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49"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49"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49"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49"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49"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49"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49"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49"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49"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49"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49"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49"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49"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49"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49"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49"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49"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49"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49"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49"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49"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49"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49"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49"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49"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49"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49"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49"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49"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49"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49"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49"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49"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49"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49"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49"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49"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49"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49"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49"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86"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86"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86"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86"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86"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86"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86"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86"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86"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86"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86"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87"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86"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86"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86"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86"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86"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86"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86"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86"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86"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86"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86"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87"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86"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86"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86"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86"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86"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86"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86"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86"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86"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86"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86"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87"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86"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86"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86"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86"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86"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86"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86"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86"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86"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86"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86"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87"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86"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86"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86"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86"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86"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86"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86"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86"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86"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86"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86"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87"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49"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49"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49"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49"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49"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49"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49"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49"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49"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49"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49"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49"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49"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49"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49"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49"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49"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49"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49"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49"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49"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49"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49"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49"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49"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49"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49"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49"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49"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49"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49"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49"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49"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49"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49"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49"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49"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49"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49"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49"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49"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49"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49"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49"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49"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49"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49"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49"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49"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49"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49"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49"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49"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49"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49"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49"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49"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49"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49"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49"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57" t="s">
        <v>520</v>
      </c>
      <c r="B71" s="257" t="s">
        <v>339</v>
      </c>
      <c r="C71" s="261" t="n">
        <v>1850</v>
      </c>
      <c r="D71" s="262"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62"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62"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62"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62"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62"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62"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62"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62"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62"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62"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88"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62"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62"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62"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62"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62"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62"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62"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62"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62"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62"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62"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88"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62"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62"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62"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62"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62"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62"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62"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62"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62"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62"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62"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89"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0"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0"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0"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0"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0"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0"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0"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0"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0"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0"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0"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89"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0"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0"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0"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0"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0"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0"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0"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0"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0"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0"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0"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89"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49"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49"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49"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49"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49"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49"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49"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49"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49"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49"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49"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49"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49"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49"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49"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49"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49"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49"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49"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49"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49"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49"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49"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49"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49"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49"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49"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49"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49"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49"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49"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49"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49"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49"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49"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49"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49"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49"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49"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49"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49"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49"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49"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49"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49"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49"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49"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49"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49"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49"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49"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49"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49"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49"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49"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49"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49"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49"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49"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49"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49"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49"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49"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49"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49"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49"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49"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49"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49"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49"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49"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1"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49"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49"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49"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49"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49"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49"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49"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49"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49"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49"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49"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1"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49"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49"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49"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49"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49"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49"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49"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49"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49"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49"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49"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1"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49"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49"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49"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49"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49"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49"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49"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49"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49"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49"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49"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1"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49"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49"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49"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49"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49"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49"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49"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49"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49"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49"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49"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1"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49"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49"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49"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49"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49"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49"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49"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49"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49"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49"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49"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49"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49"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49"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49"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49"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49"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49"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49"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49"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49"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49"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49"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49"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49"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49"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49"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49"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49"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49"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49"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49"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49"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49"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49"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49"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49"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49"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49"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49"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49"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49"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49"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49"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49"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49"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49"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49"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49"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49"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49"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49"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49"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49"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49"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49"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49"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49"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49"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49"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292" t="s">
        <v>521</v>
      </c>
      <c r="B72" s="292" t="s">
        <v>339</v>
      </c>
      <c r="C72" s="293" t="n">
        <v>1900</v>
      </c>
      <c r="D72" s="294"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94"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94"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94"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294"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94"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294"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94"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94"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94"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294"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88"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294"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94"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94"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94"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294"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94"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294"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94"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94"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94"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294"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88"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294"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94"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94"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94"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294"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94"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294"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94"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94"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94"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294"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89"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295"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95"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95"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95"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295"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95"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295"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95"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95"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95"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295"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89"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295"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95"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95"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95"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295"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95"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295"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95"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95"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95"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295"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89"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49"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49"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49"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49"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49"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49"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49"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49"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49"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49"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49"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49"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49"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49"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49"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49"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49"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49"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49"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49"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49"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49"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49"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49"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49"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49"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49"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49"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49"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49"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49"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49"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49"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49"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49"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49"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49"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49"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49"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49"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49"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49"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49"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49"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49"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49"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49"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49"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49"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49"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49"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49"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49"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49"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49"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49"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49"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49"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49"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49"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296"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96"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96"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96"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296"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96"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296"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96"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96"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96"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296"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1"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296"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96"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96"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96"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296"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96"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296"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96"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96"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96"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296"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1"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296"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96"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96"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96"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296"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96"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296"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96"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96"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96"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296"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1"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296"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96"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96"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96"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296"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96"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296"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96"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96"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96"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296"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1"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296"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96"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96"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96"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296"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96"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296"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96"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96"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96"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296"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1"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49"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49"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49"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49"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49"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49"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49"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49"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49"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49"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49"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49"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49"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49"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49"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49"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49"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49"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49"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49"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49"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49"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49"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49"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49"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49"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49"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49"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49"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49"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49"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49"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49"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49"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49"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49"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49"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49"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49"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49"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49"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49"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49"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49"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49"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49"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49"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49"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49"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49"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49"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49"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49"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49"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49"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49"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49"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49"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49"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49"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57" t="s">
        <v>522</v>
      </c>
      <c r="B73" s="257" t="s">
        <v>339</v>
      </c>
      <c r="C73" s="261" t="n">
        <v>1950</v>
      </c>
      <c r="D73" s="262"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62"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62"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62"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62"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62"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62"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62"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62"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62"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62"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88"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62"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62"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62"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62"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62"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62"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62"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62"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62"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62"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62"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88"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62"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62"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62"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62"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62"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62"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62"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62"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62"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62"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62"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89"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0"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0"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0"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0"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0"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0"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0"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0"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0"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0"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0"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89"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0"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0"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0"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0"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0"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0"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0"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0"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0"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0"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0"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89"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49"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49"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49"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49"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49"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49"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49"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49"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49"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49"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49"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49"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49"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49"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49"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49"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49"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49"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49"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49"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49"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49"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49"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49"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49"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49"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49"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49"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49"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49"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49"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49"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49"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49"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49"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49"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49"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49"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49"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49"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49"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49"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49"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49"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49"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49"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49"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49"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49"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49"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49"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49"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49"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49"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49"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49"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49"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49"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49"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49"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49"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49"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49"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49"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49"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49"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49"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49"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49"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49"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49"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1"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49"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49"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49"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49"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49"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49"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49"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49"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49"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49"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49"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1"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49"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49"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49"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49"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49"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49"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49"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49"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49"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49"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49"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1"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49"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49"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49"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49"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49"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49"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49"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49"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49"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49"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49"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1"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49"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49"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49"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49"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49"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49"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49"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49"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49"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49"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49"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1"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49"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49"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49"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49"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49"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49"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49"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49"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49"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49"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49"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49"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49"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49"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49"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49"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49"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49"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49"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49"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49"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49"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49"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49"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49"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49"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49"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49"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49"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49"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49"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49"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49"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49"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49"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49"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49"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49"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49"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49"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49"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49"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49"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49"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49"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49"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49"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49"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49"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49"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49"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49"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49"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49"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49"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49"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49"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49"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49"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49"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292" t="s">
        <v>523</v>
      </c>
      <c r="B74" s="292" t="s">
        <v>339</v>
      </c>
      <c r="C74" s="293" t="n">
        <v>2000</v>
      </c>
      <c r="D74" s="294"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94"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94"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94"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294"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94"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294"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94"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94"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94"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294"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88"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294"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94"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94"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94"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294"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94"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294"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94"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94"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94"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294"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88"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294"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94"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94"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94"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294"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94"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294"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94"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94"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94"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294"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89"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295"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95"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95"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95"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295"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95"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295"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95"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95"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95"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295"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89"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295"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95"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95"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95"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295"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95"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295"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95"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95"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95"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295"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89"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49"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49"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49"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49"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49"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49"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49"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49"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49"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49"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49"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49"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49"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49"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49"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49"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49"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49"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49"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49"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49"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49"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49"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49"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49"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49"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49"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49"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49"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49"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49"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49"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49"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49"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49"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49"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49"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49"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49"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49"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49"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49"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49"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49"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49"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49"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49"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49"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49"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49"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49"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49"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49"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49"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49"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49"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49"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49"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49"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49"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296"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96"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96"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96"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296"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96"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296"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96"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96"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96"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296"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1"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296"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96"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96"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96"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296"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96"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296"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96"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96"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96"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296"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1"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296"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96"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96"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96"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296"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96"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296"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96"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96"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96"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296"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1"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296"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96"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96"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96"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296"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96"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296"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96"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96"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96"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296"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1"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296"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96"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96"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96"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296"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96"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296"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96"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96"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96"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296"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1"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49"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49"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49"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49"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49"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49"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49"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49"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49"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49"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49"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49"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49"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49"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49"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49"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49"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49"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49"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49"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49"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49"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49"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49"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49"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49"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49"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49"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49"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49"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49"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49"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49"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49"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49"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49"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49"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49"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49"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49"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49"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49"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49"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49"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49"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49"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49"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49"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49"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49"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49"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49"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49"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49"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49"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49"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49"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49"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49"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49"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57" t="s">
        <v>524</v>
      </c>
      <c r="B75" s="257" t="s">
        <v>339</v>
      </c>
      <c r="C75" s="261" t="n">
        <v>2050</v>
      </c>
      <c r="D75" s="262"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62"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62"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62"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62"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62"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62"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62"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62"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62"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62"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88"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62"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62"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62"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62"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62"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62"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62"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62"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62"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62"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62"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88"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62"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62"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62"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62"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62"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62"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62"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62"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62"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62"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62"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89"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0"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0"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0"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0"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0"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0"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0"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0"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0"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0"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0"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89"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0"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0"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0"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0"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0"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0"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0"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0"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0"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0"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0"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89"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49"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49"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49"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49"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49"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49"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49"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49"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49"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49"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49"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49"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49"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49"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49"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49"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49"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49"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49"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49"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49"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49"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49"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49"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49"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49"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49"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49"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49"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49"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49"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49"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49"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49"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49"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49"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49"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49"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49"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49"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49"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49"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49"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49"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49"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49"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49"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49"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49"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49"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49"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49"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49"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49"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49"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49"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49"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49"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49"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49"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49"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49"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49"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49"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49"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49"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49"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49"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49"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49"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49"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1"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49"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49"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49"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49"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49"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49"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49"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49"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49"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49"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49"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1"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49"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49"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49"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49"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49"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49"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49"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49"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49"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49"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49"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1"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49"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49"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49"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49"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49"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49"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49"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49"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49"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49"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49"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1"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49"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49"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49"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49"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49"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49"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49"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49"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49"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49"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49"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1"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49"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49"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49"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49"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49"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49"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49"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49"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49"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49"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49"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49"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49"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49"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49"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49"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49"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49"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49"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49"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49"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49"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49"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49"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49"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49"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49"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49"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49"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49"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49"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49"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49"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49"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49"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49"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49"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49"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49"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49"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49"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49"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49"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49"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49"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49"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49"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49"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49"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49"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49"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49"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49"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49"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49"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49"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49"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49"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49"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49"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292" t="s">
        <v>525</v>
      </c>
      <c r="B76" s="292" t="s">
        <v>339</v>
      </c>
      <c r="C76" s="293" t="n">
        <v>2100</v>
      </c>
      <c r="D76" s="294"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94"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94"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94"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294"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94"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294"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94"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94"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94"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294"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88"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294"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94"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94"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94"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294"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94"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294"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94"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94"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94"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294"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88"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294"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94"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94"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94"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294"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94"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294"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94"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94"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94"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294"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89"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295"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95"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95"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95"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295"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95"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295"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95"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95"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95"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295"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89"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295"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95"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95"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95"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295"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95"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295"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95"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95"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95"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295"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89"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49"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49"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49"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49"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49"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49"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49"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49"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49"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49"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49"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49"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49"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49"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49"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49"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49"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49"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49"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49"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49"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49"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49"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49"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49"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49"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49"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49"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49"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49"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49"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49"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49"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49"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49"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49"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49"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49"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49"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49"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49"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49"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49"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49"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49"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49"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49"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49"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49"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49"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49"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49"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49"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49"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49"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49"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49"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49"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49"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49"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296"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96"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96"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96"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296"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96"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296"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96"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96"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96"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296"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1"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296"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96"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96"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96"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296"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96"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296"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96"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96"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96"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296"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1"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296"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96"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96"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96"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296"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96"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296"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96"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96"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96"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296"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1"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296"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96"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96"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96"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296"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96"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296"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96"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96"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96"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296"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1"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296"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96"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96"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96"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296"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96"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296"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96"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96"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96"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296"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1"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49"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49"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49"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49"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49"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49"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49"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49"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49"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49"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49"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49"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49"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49"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49"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49"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49"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49"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49"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49"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49"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49"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49"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49"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49"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49"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49"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49"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49"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49"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49"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49"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49"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49"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49"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49"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49"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49"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49"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49"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49"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49"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49"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49"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49"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49"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49"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49"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49"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49"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49"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49"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49"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49"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49"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49"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49"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49"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49"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49"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57" t="s">
        <v>526</v>
      </c>
      <c r="B77" s="257" t="s">
        <v>339</v>
      </c>
      <c r="C77" s="261" t="n">
        <v>2150</v>
      </c>
      <c r="D77" s="262"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62"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62"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62"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62"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62"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62"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62"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62"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62"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62"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88"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62"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62"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62"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62"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62"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62"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62"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62"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62"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62"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62"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88"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62"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62"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62"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62"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62"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62"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62"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62"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62"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62"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62"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89"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0"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0"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0"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0"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0"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0"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0"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0"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0"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0"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0"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89"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0"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0"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0"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0"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0"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0"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0"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0"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0"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0"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0"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89"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49"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49"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49"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49"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49"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49"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49"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49"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49"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49"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49"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49"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49"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49"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49"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49"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49"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49"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49"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49"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49"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49"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49"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49"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49"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49"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49"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49"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49"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49"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49"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49"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49"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49"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49"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49"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49"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49"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49"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49"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49"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49"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49"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49"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49"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49"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49"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49"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49"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49"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49"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49"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49"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49"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49"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49"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49"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49"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49"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49"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49"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49"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49"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49"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49"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49"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49"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49"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49"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49"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49"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1"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49"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49"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49"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49"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49"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49"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49"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49"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49"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49"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49"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1"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49"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49"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49"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49"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49"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49"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49"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49"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49"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49"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49"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1"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49"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49"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49"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49"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49"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49"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49"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49"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49"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49"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49"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1"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49"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49"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49"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49"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49"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49"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49"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49"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49"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49"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49"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1"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49"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49"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49"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49"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49"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49"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49"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49"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49"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49"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49"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49"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49"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49"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49"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49"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49"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49"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49"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49"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49"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49"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49"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49"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49"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49"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49"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49"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49"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49"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49"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49"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49"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49"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49"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49"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49"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49"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49"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49"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49"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49"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49"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49"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49"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49"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49"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49"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49"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49"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49"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49"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49"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49"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49"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49"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49"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49"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49"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49"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292" t="s">
        <v>527</v>
      </c>
      <c r="B78" s="292" t="s">
        <v>339</v>
      </c>
      <c r="C78" s="293" t="n">
        <v>2200</v>
      </c>
      <c r="D78" s="294"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94"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94"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94"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294"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94"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294"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94"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94"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94"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294"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88"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294"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94"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94"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94"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294"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94"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294"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94"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94"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94"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294"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88"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294"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94"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94"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94"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294"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94"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294"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94"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94"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94"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294"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89"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295"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95"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95"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95"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295"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95"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295"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95"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95"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95"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295"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89"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295"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95"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95"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95"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295"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95"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295"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95"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95"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95"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295"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89"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49"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49"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49"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49"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49"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49"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49"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49"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49"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49"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49"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49"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49"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49"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49"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49"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49"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49"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49"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49"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49"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49"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49"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49"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49"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49"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49"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49"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49"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49"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49"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49"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49"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49"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49"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49"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49"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49"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49"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49"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49"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49"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49"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49"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49"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49"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49"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49"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49"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49"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49"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49"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49"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49"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49"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49"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49"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49"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49"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49"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296"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96"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96"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96"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296"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96"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296"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96"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96"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96"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296"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1"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296"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96"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96"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96"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296"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96"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296"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96"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96"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96"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296"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1"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296"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96"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96"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96"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296"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96"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296"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96"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96"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96"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296"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1"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296"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96"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96"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96"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296"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96"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296"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96"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96"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96"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296"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1"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296"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96"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96"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96"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296"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96"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296"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96"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96"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96"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296"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1"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49"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49"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49"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49"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49"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49"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49"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49"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49"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49"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49"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49"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49"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49"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49"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49"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49"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49"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49"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49"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49"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49"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49"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49"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49"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49"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49"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49"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49"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49"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49"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49"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49"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49"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49"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49"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49"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49"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49"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49"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49"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49"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49"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49"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49"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49"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49"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49"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49"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49"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49"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49"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49"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49"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49"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49"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49"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49"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49"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49"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57" t="s">
        <v>528</v>
      </c>
      <c r="B79" s="257" t="s">
        <v>339</v>
      </c>
      <c r="C79" s="261" t="n">
        <v>2250</v>
      </c>
      <c r="D79" s="262"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62"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62"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62"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62"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62"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62"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62"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62"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62"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62"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88"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62"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62"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62"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62"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62"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62"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62"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62"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62"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62"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62"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88"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62"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62"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62"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62"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62"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62"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62"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62"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62"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62"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62"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89"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0"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0"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0"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0"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0"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0"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0"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0"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0"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0"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0"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89"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0"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0"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0"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0"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0"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0"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0"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0"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0"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0"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0"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89"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49"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49"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49"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49"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49"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49"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49"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49"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49"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49"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49"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49"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49"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49"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49"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49"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49"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49"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49"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49"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49"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49"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49"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49"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49"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49"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49"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49"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49"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49"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49"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49"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49"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49"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49"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49"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49"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49"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49"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49"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49"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49"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49"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49"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49"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49"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49"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49"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49"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49"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49"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49"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49"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49"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49"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49"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49"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49"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49"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49"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49"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49"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49"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49"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49"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49"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49"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49"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49"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49"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49"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1"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49"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49"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49"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49"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49"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49"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49"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49"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49"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49"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49"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1"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49"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49"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49"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49"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49"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49"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49"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49"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49"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49"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49"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1"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49"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49"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49"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49"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49"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49"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49"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49"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49"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49"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49"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1"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49"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49"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49"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49"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49"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49"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49"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49"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49"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49"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49"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1"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49"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49"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49"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49"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49"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49"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49"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49"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49"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49"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49"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49"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49"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49"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49"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49"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49"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49"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49"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49"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49"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49"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49"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49"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49"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49"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49"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49"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49"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49"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49"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49"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49"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49"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49"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49"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49"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49"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49"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49"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49"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49"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49"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49"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49"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49"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49"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49"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49"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49"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49"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49"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49"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49"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49"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49"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49"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49"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49"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49"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292" t="s">
        <v>529</v>
      </c>
      <c r="B80" s="292" t="s">
        <v>339</v>
      </c>
      <c r="C80" s="293" t="n">
        <v>2300</v>
      </c>
      <c r="D80" s="294"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94"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94"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94"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294"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94"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294"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94"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94"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94"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294"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88"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294"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94"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94"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94"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294"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94"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294"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94"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94"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94"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294"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88"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294"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94"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94"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94"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294"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94"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294"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94"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94"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94"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294"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89"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295"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95"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95"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95"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295"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95"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295"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95"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95"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95"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295"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89"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295"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95"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95"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95"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295"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95"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295"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95"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95"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95"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295"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89"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49"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49"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49"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49"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49"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49"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49"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49"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49"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49"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49"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49"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49"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49"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49"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49"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49"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49"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49"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49"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49"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49"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49"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49"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49"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49"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49"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49"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49"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49"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49"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49"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49"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49"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49"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49"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49"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49"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49"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49"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49"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49"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49"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49"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49"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49"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49"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49"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49"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49"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49"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49"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49"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49"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49"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49"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49"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49"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49"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49"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296"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96"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96"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96"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296"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96"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296"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96"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96"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96"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296"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1"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296"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96"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96"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96"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296"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96"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296"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96"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96"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96"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296"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1"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296"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96"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96"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96"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296"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96"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296"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96"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96"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96"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296"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1"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296"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96"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96"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96"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296"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96"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296"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96"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96"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96"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296"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1"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296"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96"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96"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96"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296"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96"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296"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96"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96"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96"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296"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1"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49"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49"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49"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49"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49"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49"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49"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49"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49"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49"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49"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49"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49"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49"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49"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49"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49"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49"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49"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49"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49"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49"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49"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49"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49"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49"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49"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49"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49"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49"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49"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49"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49"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49"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49"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49"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49"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49"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49"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49"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49"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49"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49"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49"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49"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49"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49"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49"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49"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49"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49"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49"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49"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49"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49"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49"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49"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49"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49"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49"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57" t="s">
        <v>530</v>
      </c>
      <c r="B81" s="257" t="s">
        <v>339</v>
      </c>
      <c r="C81" s="261" t="n">
        <v>2350</v>
      </c>
      <c r="D81" s="262"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62"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62"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62"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62"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62"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62"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62"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62"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62"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62"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88"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62"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62"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62"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62"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62"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62"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62"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62"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62"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62"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62"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88"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62"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62"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62"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62"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62"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62"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62"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62"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62"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62"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62"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89"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0"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0"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0"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0"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0"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0"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0"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0"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0"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0"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0"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89"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0"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0"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0"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0"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0"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0"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0"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0"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0"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0"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0"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89"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49"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49"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49"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49"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49"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49"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49"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49"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49"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49"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49"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49"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49"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49"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49"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49"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49"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49"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49"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49"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49"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49"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49"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49"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49"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49"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49"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49"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49"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49"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49"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49"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49"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49"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49"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49"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49"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49"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49"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49"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49"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49"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49"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49"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49"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49"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49"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49"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49"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49"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49"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49"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49"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49"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49"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49"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49"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49"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49"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49"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49"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49"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49"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49"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49"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49"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49"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49"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49"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49"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49"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1"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49"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49"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49"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49"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49"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49"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49"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49"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49"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49"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49"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1"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49"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49"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49"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49"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49"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49"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49"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49"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49"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49"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49"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1"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49"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49"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49"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49"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49"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49"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49"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49"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49"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49"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49"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1"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49"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49"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49"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49"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49"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49"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49"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49"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49"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49"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49"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1"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49"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49"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49"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49"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49"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49"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49"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49"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49"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49"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49"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49"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49"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49"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49"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49"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49"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49"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49"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49"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49"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49"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49"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49"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49"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49"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49"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49"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49"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49"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49"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49"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49"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49"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49"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49"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49"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49"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49"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49"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49"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49"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49"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49"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49"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49"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49"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49"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49"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49"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49"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49"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49"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49"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49"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49"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49"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49"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49"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49"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292" t="s">
        <v>531</v>
      </c>
      <c r="B82" s="292" t="s">
        <v>339</v>
      </c>
      <c r="C82" s="293" t="n">
        <v>2400</v>
      </c>
      <c r="D82" s="294"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94"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94"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94"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294"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94"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294"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94"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94"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94"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294"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88"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294"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94"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94"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94"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294"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94"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294"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94"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94"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94"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294"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88"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294"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94"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94"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94"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294"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94"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294"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94"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94"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94"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294"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89"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295"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95"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95"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95"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295"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95"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295"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95"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95"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95"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295"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89"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295"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95"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95"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95"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295"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95"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295"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95"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95"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95"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295"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89"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49"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49"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49"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49"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49"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49"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49"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49"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49"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49"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49"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49"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49"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49"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49"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49"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49"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49"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49"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49"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49"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49"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49"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49"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49"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49"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49"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49"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49"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49"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49"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49"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49"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49"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49"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49"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49"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49"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49"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49"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49"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49"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49"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49"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49"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49"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49"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49"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49"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49"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49"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49"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49"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49"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49"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49"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49"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49"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49"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49"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296"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96"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96"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96"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296"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96"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296"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96"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96"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96"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296"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1"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296"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96"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96"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96"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296"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96"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296"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96"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96"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96"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296"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1"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296"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96"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96"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96"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296"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96"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296"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96"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96"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96"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296"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1"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296"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96"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96"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96"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296"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96"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296"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96"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96"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96"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296"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1"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296"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96"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96"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96"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296"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96"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296"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96"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96"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96"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296"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1"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49"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49"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49"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49"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49"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49"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49"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49"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49"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49"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49"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49"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49"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49"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49"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49"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49"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49"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49"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49"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49"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49"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49"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49"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49"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49"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49"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49"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49"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49"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49"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49"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49"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49"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49"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49"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49"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49"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49"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49"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49"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49"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49"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49"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49"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49"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49"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49"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49"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49"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49"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49"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49"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49"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49"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49"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49"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49"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49"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49"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79" t="s">
        <v>532</v>
      </c>
      <c r="B83" s="280" t="s">
        <v>488</v>
      </c>
      <c r="C83" s="281" t="n">
        <v>2450</v>
      </c>
      <c r="D83" s="282"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82"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82"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82"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82"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82"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82"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82"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82"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82"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82"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8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82"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82"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82"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82"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82"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82"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82"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82"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82"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82"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82"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8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82"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82"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82"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82"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82"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82"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82"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82"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82"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82"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82"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8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85"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85"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85"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85"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85"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85"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85"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85"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85"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85"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85"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8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85"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85"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85"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85"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85"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85"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85"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85"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85"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85"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85"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8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49"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49"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49"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49"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49"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49"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49"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49"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49"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49"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49"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49"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49"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49"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49"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49"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49"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49"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49"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49"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49"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49"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49"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49"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49"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49"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49"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49"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49"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49"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49"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49"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49"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49"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49"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49"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49"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49"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49"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49"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49"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49"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49"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49"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49"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49"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49"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49"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49"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49"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49"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49"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49"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49"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49"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49"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49"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49"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49"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49"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86"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86"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86"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86"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86"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86"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86"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86"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86"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86"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86"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87"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86"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86"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86"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86"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86"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86"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86"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86"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86"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86"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86"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87"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86"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86"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86"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86"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86"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86"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86"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86"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86"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86"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86"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87"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86"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86"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86"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86"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86"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86"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86"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86"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86"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86"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86"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87"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86"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86"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86"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86"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86"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86"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86"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86"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86"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86"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86"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87"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49"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49"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49"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49"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49"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49"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49"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49"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49"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49"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49"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49"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49"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49"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49"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49"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49"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49"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49"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49"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49"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49"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49"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49"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49"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49"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49"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49"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49"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49"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49"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49"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49"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49"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49"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49"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49"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49"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49"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49"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49"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49"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49"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49"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49"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49"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49"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49"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49"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49"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49"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49"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49"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49"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49"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49"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49"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49"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49"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49"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292" t="s">
        <v>533</v>
      </c>
      <c r="B84" s="292" t="s">
        <v>339</v>
      </c>
      <c r="C84" s="293" t="n">
        <v>2500</v>
      </c>
      <c r="D84" s="294"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94"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94"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94"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294"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94"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294"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94"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94"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94"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294"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88"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294"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94"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94"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94"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294"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94"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294"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94"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94"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94"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294"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88"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294"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94"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94"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94"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294"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94"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294"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94"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94"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94"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294"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89"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295"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95"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95"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95"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295"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95"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295"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95"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95"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95"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295"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89"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295"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95"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95"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95"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295"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95"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295"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95"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95"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95"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295"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89"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49"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49"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49"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49"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49"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49"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49"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49"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49"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49"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49"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49"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49"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49"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49"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49"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49"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49"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49"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49"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49"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49"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49"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49"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49"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49"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49"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49"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49"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49"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49"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49"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49"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49"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49"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49"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49"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49"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49"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49"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49"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49"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49"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49"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49"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49"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49"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49"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49"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49"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49"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49"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49"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49"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49"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49"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49"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49"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49"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49"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296"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96"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96"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96"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296"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96"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296"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96"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96"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96"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296"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1"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296"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96"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96"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96"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296"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96"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296"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96"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96"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96"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296"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1"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296"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96"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96"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96"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296"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96"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296"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96"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96"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96"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296"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1"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296"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96"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96"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96"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296"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96"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296"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96"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96"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96"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296"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1"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296"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96"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96"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96"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296"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96"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296"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96"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96"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96"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296"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1"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49"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49"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49"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49"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49"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49"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49"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49"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49"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49"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49"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49"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49"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49"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49"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49"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49"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49"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49"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49"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49"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49"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49"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49"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49"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49"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49"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49"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49"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49"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49"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49"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49"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49"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49"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49"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49"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49"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49"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49"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49"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49"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49"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49"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49"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49"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49"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49"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49"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49"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49"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49"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49"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49"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49"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49"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49"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49"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49"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49"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57" t="s">
        <v>534</v>
      </c>
      <c r="B85" s="257" t="s">
        <v>339</v>
      </c>
      <c r="C85" s="261" t="n">
        <v>2550</v>
      </c>
      <c r="D85" s="262"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62"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62"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62"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62"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62"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62"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62"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62"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62"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62"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88"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62"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62"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62"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62"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62"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62"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62"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62"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62"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62"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62"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88"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62"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62"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62"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62"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62"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62"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62"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62"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62"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62"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62"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89"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0"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0"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0"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0"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0"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0"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0"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0"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0"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0"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0"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89"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0"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0"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0"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0"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0"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0"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0"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0"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0"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0"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0"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89"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49"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49"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49"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49"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49"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49"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49"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49"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49"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49"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49"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49"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49"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49"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49"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49"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49"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49"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49"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49"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49"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49"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49"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49"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49"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49"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49"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49"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49"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49"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49"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49"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49"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49"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49"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49"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49"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49"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49"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49"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49"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49"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49"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49"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49"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49"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49"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49"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49"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49"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49"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49"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49"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49"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49"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49"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49"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49"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49"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49"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49"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49"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49"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49"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49"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49"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49"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49"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49"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49"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49"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1"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49"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49"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49"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49"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49"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49"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49"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49"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49"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49"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49"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1"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49"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49"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49"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49"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49"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49"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49"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49"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49"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49"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49"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1"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49"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49"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49"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49"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49"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49"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49"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49"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49"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49"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49"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1"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49"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49"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49"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49"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49"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49"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49"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49"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49"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49"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49"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1"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49"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49"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49"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49"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49"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49"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49"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49"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49"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49"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49"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49"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49"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49"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49"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49"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49"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49"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49"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49"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49"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49"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49"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49"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49"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49"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49"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49"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49"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49"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49"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49"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49"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49"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49"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49"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49"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49"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49"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49"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49"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49"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49"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49"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49"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49"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49"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49"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49"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49"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49"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49"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49"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49"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49"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49"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49"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49"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49"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49"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292" t="s">
        <v>535</v>
      </c>
      <c r="B86" s="292" t="s">
        <v>339</v>
      </c>
      <c r="C86" s="293" t="n">
        <v>2600</v>
      </c>
      <c r="D86" s="294"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94"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94"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94"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294"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94"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294"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94"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94"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94"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294"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88"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294"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94"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94"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94"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294"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94"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294"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94"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94"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94"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294"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88"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294"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94"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94"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94"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294"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94"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294"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94"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94"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94"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294"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89"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295"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95"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95"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95"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295"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95"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295"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95"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95"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95"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295"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89"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295"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95"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95"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95"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295"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95"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295"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95"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95"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95"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295"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89"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49"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49"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49"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49"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49"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49"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49"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49"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49"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49"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49"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49"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49"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49"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49"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49"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49"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49"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49"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49"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49"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49"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49"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49"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49"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49"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49"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49"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49"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49"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49"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49"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49"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49"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49"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49"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49"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49"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49"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49"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49"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49"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49"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49"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49"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49"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49"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49"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49"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49"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49"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49"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49"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49"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49"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49"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49"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49"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49"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49"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296"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96"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96"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96"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296"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96"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296"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96"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96"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96"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296"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1"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296"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96"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96"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96"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296"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96"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296"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96"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96"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96"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296"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1"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296"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96"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96"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96"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296"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96"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296"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96"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96"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96"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296"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1"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296"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96"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96"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96"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296"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96"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296"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96"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96"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96"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296"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1"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296"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96"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96"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96"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296"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96"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296"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96"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96"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96"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296"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1"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49"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49"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49"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49"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49"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49"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49"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49"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49"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49"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49"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49"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49"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49"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49"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49"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49"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49"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49"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49"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49"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49"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49"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49"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49"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49"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49"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49"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49"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49"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49"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49"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49"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49"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49"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49"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49"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49"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49"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49"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49"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49"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49"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49"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49"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49"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49"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49"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49"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49"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49"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49"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49"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49"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49"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49"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49"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49"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49"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49"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57" t="s">
        <v>536</v>
      </c>
      <c r="B87" s="257" t="s">
        <v>339</v>
      </c>
      <c r="C87" s="261" t="n">
        <v>2650</v>
      </c>
      <c r="D87" s="262"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62"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62"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62"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62"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62"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62"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62"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62"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62"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62"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88"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62"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62"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62"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62"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62"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62"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62"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62"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62"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62"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62"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88"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62"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62"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62"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62"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62"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62"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62"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62"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62"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62"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62"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89"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0"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0"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0"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0"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0"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0"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0"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0"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0"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0"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0"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89"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0"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0"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0"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0"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0"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0"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0"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0"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0"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0"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0"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89"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49"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49"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49"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49"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49"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49"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49"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49"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49"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49"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49"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49"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49"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49"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49"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49"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49"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49"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49"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49"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49"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49"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49"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49"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49"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49"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49"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49"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49"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49"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49"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49"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49"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49"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49"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49"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49"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49"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49"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49"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49"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49"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49"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49"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49"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49"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49"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49"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49"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49"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49"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49"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49"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49"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49"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49"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49"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49"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49"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49"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49"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49"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49"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49"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49"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49"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49"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49"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49"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49"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49"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1"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49"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49"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49"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49"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49"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49"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49"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49"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49"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49"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49"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1"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49"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49"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49"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49"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49"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49"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49"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49"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49"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49"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49"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1"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49"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49"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49"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49"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49"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49"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49"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49"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49"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49"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49"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1"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49"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49"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49"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49"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49"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49"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49"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49"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49"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49"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49"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1"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49"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49"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49"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49"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49"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49"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49"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49"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49"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49"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49"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49"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49"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49"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49"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49"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49"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49"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49"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49"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49"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49"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49"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49"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49"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49"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49"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49"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49"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49"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49"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49"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49"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49"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49"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49"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49"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49"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49"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49"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49"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49"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49"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49"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49"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49"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49"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49"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49"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49"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49"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49"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49"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49"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49"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49"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49"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49"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49"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49"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292" t="s">
        <v>537</v>
      </c>
      <c r="B88" s="292" t="s">
        <v>339</v>
      </c>
      <c r="C88" s="293" t="n">
        <v>2700</v>
      </c>
      <c r="D88" s="294"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94"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94"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94"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294"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94"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294"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94"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94"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94"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294"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88"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294"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94"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94"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94"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294"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94"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294"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94"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94"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94"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294"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88"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294"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94"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94"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94"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294"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94"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294"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94"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94"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94"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294"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89"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295"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95"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95"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95"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295"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95"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295"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95"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95"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95"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295"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89"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295"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95"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95"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95"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295"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95"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295"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95"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95"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95"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295"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89"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49"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49"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49"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49"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49"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49"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49"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49"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49"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49"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49"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49"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49"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49"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49"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49"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49"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49"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49"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49"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49"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49"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49"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49"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49"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49"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49"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49"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49"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49"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49"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49"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49"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49"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49"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49"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49"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49"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49"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49"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49"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49"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49"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49"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49"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49"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49"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49"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49"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49"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49"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49"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49"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49"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49"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49"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49"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49"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49"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49"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296"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96"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96"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96"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296"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96"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296"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96"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96"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96"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296"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1"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296"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96"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96"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96"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296"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96"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296"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96"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96"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96"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296"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1"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296"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96"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96"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96"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296"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96"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296"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96"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96"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96"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296"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1"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296"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96"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96"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96"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296"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96"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296"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96"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96"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96"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296"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1"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296"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96"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96"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96"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296"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96"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296"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96"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96"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96"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296"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1"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49"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49"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49"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49"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49"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49"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49"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49"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49"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49"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49"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49"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49"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49"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49"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49"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49"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49"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49"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49"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49"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49"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49"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49"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49"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49"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49"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49"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49"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49"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49"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49"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49"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49"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49"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49"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49"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49"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49"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49"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49"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49"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49"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49"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49"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49"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49"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49"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49"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49"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49"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49"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49"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49"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49"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49"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49"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49"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49"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49"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57" t="s">
        <v>538</v>
      </c>
      <c r="B89" s="257" t="s">
        <v>339</v>
      </c>
      <c r="C89" s="261" t="n">
        <v>2750</v>
      </c>
      <c r="D89" s="262"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62"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62"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62"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62"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62"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62"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62"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62"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62"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62"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88"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62"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62"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62"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62"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62"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62"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62"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62"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62"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62"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62"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88"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62"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62"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62"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62"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62"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62"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62"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62"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62"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62"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62"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89"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0"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0"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0"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0"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0"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0"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0"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0"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0"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0"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0"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89"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0"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0"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0"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0"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0"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0"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0"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0"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0"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0"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0"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89"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49"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49"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49"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49"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49"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49"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49"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49"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49"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49"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49"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49"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49"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49"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49"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49"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49"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49"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49"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49"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49"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49"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49"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49"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49"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49"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49"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49"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49"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49"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49"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49"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49"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49"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49"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49"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49"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49"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49"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49"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49"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49"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49"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49"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49"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49"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49"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49"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49"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49"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49"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49"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49"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49"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49"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49"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49"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49"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49"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49"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49"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49"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49"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49"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49"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49"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49"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49"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49"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49"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49"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1"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49"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49"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49"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49"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49"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49"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49"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49"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49"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49"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49"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1"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49"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49"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49"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49"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49"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49"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49"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49"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49"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49"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49"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1"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49"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49"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49"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49"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49"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49"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49"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49"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49"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49"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49"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1"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49"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49"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49"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49"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49"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49"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49"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49"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49"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49"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49"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1"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49"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49"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49"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49"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49"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49"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49"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49"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49"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49"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49"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49"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49"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49"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49"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49"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49"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49"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49"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49"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49"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49"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49"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49"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49"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49"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49"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49"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49"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49"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49"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49"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49"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49"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49"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49"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49"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49"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49"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49"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49"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49"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49"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49"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49"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49"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49"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49"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49"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49"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49"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49"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49"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49"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49"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49"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49"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49"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49"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49"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292" t="s">
        <v>539</v>
      </c>
      <c r="B90" s="292" t="s">
        <v>339</v>
      </c>
      <c r="C90" s="293" t="n">
        <v>2800</v>
      </c>
      <c r="D90" s="294"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94"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94"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94"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294"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94"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294"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94"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94"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94"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294"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88"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294"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94"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94"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94"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294"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94"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294"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94"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94"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94"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294"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88"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294"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94"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94"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94"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294"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94"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294"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94"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94"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94"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294"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89"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295"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95"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95"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95"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295"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95"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295"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95"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95"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95"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295"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89"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295"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95"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95"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95"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295"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95"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295"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95"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95"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95"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295"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89"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49"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49"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49"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49"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49"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49"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49"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49"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49"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49"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49"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49"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49"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49"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49"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49"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49"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49"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49"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49"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49"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49"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49"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49"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49"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49"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49"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49"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49"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49"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49"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49"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49"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49"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49"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49"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49"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49"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49"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49"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49"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49"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49"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49"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49"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49"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49"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49"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49"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49"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49"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49"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49"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49"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49"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49"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49"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49"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49"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49"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296"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96"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96"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96"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296"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96"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296"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96"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96"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96"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296"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1"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296"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96"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96"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96"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296"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96"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296"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96"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96"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96"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296"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1"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296"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96"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96"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96"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296"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96"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296"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96"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96"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96"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296"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1"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296"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96"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96"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96"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296"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96"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296"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96"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96"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96"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296"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1"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296"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96"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96"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96"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296"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96"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296"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96"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96"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96"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296"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1"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49"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49"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49"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49"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49"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49"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49"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49"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49"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49"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49"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49"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49"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49"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49"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49"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49"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49"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49"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49"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49"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49"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49"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49"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49"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49"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49"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49"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49"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49"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49"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49"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49"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49"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49"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49"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49"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49"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49"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49"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49"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49"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49"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49"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49"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49"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49"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49"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49"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49"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49"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49"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49"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49"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49"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49"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49"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49"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49"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49"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57" t="s">
        <v>540</v>
      </c>
      <c r="B91" s="257" t="s">
        <v>339</v>
      </c>
      <c r="C91" s="261" t="n">
        <v>2850</v>
      </c>
      <c r="D91" s="262"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62"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62"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62"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62"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62"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62"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62"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62"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62"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62"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88"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62"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62"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62"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62"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62"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62"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62"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62"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62"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62"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62"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88"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62"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62"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62"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62"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62"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62"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62"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62"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62"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62"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62"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89"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0"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0"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0"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0"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0"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0"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0"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0"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0"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0"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0"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89"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0"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0"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0"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0"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0"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0"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0"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0"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0"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0"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0"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89"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49"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49"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49"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49"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49"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49"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49"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49"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49"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49"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49"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49"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49"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49"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49"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49"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49"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49"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49"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49"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49"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49"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49"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49"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49"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49"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49"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49"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49"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49"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49"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49"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49"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49"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49"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49"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49"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49"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49"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49"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49"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49"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49"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49"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49"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49"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49"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49"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49"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49"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49"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49"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49"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49"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49"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49"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49"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49"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49"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49"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49"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49"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49"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49"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49"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49"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49"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49"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49"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49"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49"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1"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49"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49"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49"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49"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49"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49"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49"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49"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49"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49"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49"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1"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49"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49"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49"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49"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49"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49"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49"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49"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49"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49"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49"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1"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49"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49"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49"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49"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49"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49"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49"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49"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49"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49"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49"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1"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49"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49"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49"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49"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49"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49"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49"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49"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49"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49"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49"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1"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49"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49"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49"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49"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49"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49"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49"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49"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49"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49"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49"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49"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49"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49"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49"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49"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49"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49"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49"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49"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49"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49"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49"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49"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49"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49"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49"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49"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49"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49"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49"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49"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49"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49"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49"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49"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49"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49"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49"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49"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49"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49"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49"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49"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49"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49"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49"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49"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49"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49"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49"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49"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49"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49"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49"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49"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49"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49"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49"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49"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292" t="s">
        <v>541</v>
      </c>
      <c r="B92" s="292" t="s">
        <v>339</v>
      </c>
      <c r="C92" s="293" t="n">
        <v>2900</v>
      </c>
      <c r="D92" s="294"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94"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94"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94"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294"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94"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294"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94"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94"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94"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294"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88"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294"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94"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94"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94"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294"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94"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294"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94"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94"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94"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294"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88"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294"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94"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94"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94"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294"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94"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294"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94"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94"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94"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294"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89"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295"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95"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95"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95"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295"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95"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295"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95"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95"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95"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295"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89"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295"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95"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95"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95"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295"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95"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295"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95"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95"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95"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295"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89"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49"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49"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49"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49"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49"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49"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49"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49"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49"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49"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49"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49"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49"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49"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49"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49"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49"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49"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49"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49"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49"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49"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49"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49"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49"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49"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49"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49"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49"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49"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49"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49"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49"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49"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49"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49"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49"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49"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49"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49"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49"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49"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49"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49"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49"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49"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49"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49"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49"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49"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49"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49"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49"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49"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49"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49"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49"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49"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49"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49"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296"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96"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96"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96"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296"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96"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296"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96"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96"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96"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296"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1"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296"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96"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96"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96"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296"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96"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296"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96"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96"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96"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296"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1"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296"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96"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96"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96"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296"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96"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296"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96"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96"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96"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296"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1"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296"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96"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96"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96"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296"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96"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296"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96"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96"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96"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296"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1"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296"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96"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96"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96"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296"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96"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296"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96"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96"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96"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296"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1"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49"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49"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49"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49"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49"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49"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49"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49"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49"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49"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49"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49"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49"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49"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49"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49"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49"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49"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49"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49"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49"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49"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49"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49"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49"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49"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49"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49"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49"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49"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49"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49"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49"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49"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49"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49"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49"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49"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49"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49"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49"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49"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49"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49"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49"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49"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49"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49"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49"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49"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49"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49"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49"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49"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49"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49"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49"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49"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49"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49"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57" t="s">
        <v>542</v>
      </c>
      <c r="B93" s="257" t="s">
        <v>339</v>
      </c>
      <c r="C93" s="261" t="n">
        <v>2950</v>
      </c>
      <c r="D93" s="262"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62"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62"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62"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62"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62"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62"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62"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62"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62"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62"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88"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62"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62"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62"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62"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62"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62"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62"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62"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62"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62"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62"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88"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62"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62"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62"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62"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62"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62"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62"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62"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62"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62"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62"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89"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0"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0"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0"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0"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0"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0"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0"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0"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0"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0"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0"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89"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0"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0"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0"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0"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0"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0"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0"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0"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0"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0"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0"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89"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49"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49"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49"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49"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49"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49"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49"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49"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49"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49"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49"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49"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49"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49"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49"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49"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49"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49"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49"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49"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49"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49"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49"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49"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49"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49"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49"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49"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49"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49"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49"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49"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49"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49"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49"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49"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49"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49"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49"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49"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49"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49"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49"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49"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49"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49"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49"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49"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49"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49"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49"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49"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49"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49"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49"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49"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49"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49"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49"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49"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49"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49"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49"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49"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49"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49"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49"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49"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49"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49"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49"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1"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49"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49"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49"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49"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49"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49"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49"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49"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49"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49"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49"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1"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49"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49"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49"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49"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49"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49"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49"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49"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49"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49"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49"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1"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49"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49"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49"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49"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49"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49"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49"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49"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49"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49"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49"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1"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49"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49"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49"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49"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49"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49"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49"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49"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49"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49"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49"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1"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49"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49"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49"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49"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49"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49"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49"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49"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49"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49"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49"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49"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49"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49"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49"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49"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49"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49"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49"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49"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49"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49"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49"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49"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49"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49"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49"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49"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49"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49"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49"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49"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49"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49"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49"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49"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49"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49"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49"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49"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49"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49"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49"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49"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49"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49"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49"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49"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49"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49"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49"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49"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49"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49"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49"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49"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49"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49"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49"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49"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292" t="s">
        <v>543</v>
      </c>
      <c r="B94" s="292" t="s">
        <v>339</v>
      </c>
      <c r="C94" s="292" t="n">
        <v>3000</v>
      </c>
      <c r="D94" s="292"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92"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92"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92"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292"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92"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292"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92"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92"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92"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292"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97"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292"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92"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92"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92"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292"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92"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292"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92"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92"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92"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292"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97"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292"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92"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92"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92"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292"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92"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292"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92"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92"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92"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292"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89"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295"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95"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95"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95"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295"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95"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295"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95"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95"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95"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295"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89"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295"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95"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95"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95"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295"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95"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295"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95"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95"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95"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295"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89"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49"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49"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49"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49"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49"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49"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49"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49"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49"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49"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49"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49"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49"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49"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49"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49"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49"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49"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49"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49"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49"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49"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49"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49"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49"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49"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49"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49"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49"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49"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49"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49"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49"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49"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49"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49"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49"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49"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49"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49"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49"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49"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49"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49"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49"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49"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49"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49"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49"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49"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49"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49"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49"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49"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49"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49"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49"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49"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49"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49"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296"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96"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96"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96"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296"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96"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296"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96"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96"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96"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296"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1"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296"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96"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96"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96"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296"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96"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296"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96"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96"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96"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296"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1"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296"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96"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96"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96"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296"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96"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296"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96"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96"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96"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296"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1"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296"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96"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96"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96"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296"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96"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296"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96"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96"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96"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296"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1"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296"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96"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96"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96"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296"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96"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296"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96"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96"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96"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296"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1"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49"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49"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49"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49"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49"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49"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49"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49"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49"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49"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49"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49"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49"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49"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49"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49"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49"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49"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49"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49"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49"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49"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49"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49"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49"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49"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49"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49"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49"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49"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49"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49"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49"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49"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49"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49"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49"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49"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49"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49"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49"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49"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49"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49"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49"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49"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49"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49"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49"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49"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49"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49"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49"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49"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49"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49"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49"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49"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49"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49"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57" t="s">
        <v>544</v>
      </c>
      <c r="B95" s="257" t="s">
        <v>339</v>
      </c>
      <c r="C95" s="257" t="n">
        <v>3050</v>
      </c>
      <c r="D95" s="257"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57"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57"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57"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57"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57"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57"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57"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57"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57"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57"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97"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57"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57"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57"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57"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57"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57"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57"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57"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57"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57"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57"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97"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57"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57"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57"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57"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57"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57"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57"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57"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57"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57"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57"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89"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0"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0"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0"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0"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0"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0"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0"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0"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0"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0"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0"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89"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0"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0"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0"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0"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0"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0"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0"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0"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0"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0"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0"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89"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49"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49"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49"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49"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49"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49"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49"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49"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49"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49"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49"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49"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49"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49"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49"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49"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49"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49"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49"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49"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49"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49"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49"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49"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49"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49"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49"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49"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49"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49"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49"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49"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49"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49"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49"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49"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49"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49"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49"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49"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49"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49"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49"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49"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49"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49"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49"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49"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49"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49"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49"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49"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49"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49"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49"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49"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49"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49"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49"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49"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49"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49"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49"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49"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49"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49"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49"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49"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49"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49"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49"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1"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49"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49"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49"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49"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49"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49"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49"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49"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49"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49"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49"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1"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49"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49"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49"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49"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49"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49"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49"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49"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49"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49"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49"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1"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49"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49"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49"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49"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49"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49"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49"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49"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49"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49"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49"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1"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49"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49"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49"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49"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49"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49"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49"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49"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49"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49"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49"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1"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49"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49"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49"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49"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49"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49"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49"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49"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49"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49"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49"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49"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49"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49"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49"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49"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49"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49"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49"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49"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49"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49"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49"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49"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49"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49"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49"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49"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49"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49"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49"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49"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49"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49"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49"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49"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49"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49"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49"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49"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49"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49"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49"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49"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49"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49"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49"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49"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49"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49"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49"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49"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49"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49"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49"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49"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49"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49"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49"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49"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292" t="s">
        <v>545</v>
      </c>
      <c r="B96" s="292" t="s">
        <v>339</v>
      </c>
      <c r="C96" s="292" t="n">
        <v>3100</v>
      </c>
      <c r="D96" s="292"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92"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92"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92"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292"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92"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292"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92"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92"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92"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292"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97"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292"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92"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92"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92"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292"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92"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292"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92"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92"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92"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292"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97"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292"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92"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92"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92"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292"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92"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292"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92"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92"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92"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292"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89"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295"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95"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95"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95"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295"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95"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295"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95"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95"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95"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295"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89"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295"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95"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95"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95"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295"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95"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295"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95"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95"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95"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295"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89"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49"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49"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49"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49"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49"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49"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49"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49"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49"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49"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49"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49"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49"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49"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49"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49"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49"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49"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49"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49"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49"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49"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49"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49"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49"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49"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49"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49"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49"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49"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49"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49"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49"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49"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49"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49"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49"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49"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49"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49"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49"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49"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49"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49"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49"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49"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49"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49"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49"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49"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49"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49"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49"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49"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49"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49"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49"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49"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49"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49"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296"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96"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96"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96"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296"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96"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296"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96"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96"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96"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296"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1"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296"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96"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96"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96"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296"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96"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296"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96"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96"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96"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296"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1"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296"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96"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96"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96"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296"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96"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296"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96"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96"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96"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296"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1"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296"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96"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96"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96"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296"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96"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296"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96"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96"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96"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296"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1"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296"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96"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96"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96"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296"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96"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296"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96"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96"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96"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296"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1"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49"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49"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49"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49"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49"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49"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49"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49"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49"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49"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49"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49"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49"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49"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49"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49"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49"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49"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49"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49"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49"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49"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49"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49"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49"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49"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49"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49"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49"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49"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49"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49"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49"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49"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49"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49"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49"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49"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49"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49"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49"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49"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49"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49"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49"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49"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49"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49"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49"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49"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49"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49"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49"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49"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49"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49"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49"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49"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49"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49"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57" t="s">
        <v>546</v>
      </c>
      <c r="B97" s="258" t="s">
        <v>339</v>
      </c>
      <c r="C97" s="257" t="n">
        <v>3150</v>
      </c>
      <c r="D97" s="257"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57"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57"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57"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57"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57"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57"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57"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57"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57"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57"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97"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57"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57"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57"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57"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57"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57"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57"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57"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57"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57"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57"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97"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57"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57"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57"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57"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57"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57"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57"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57"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57"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57"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57"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89"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0"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0"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0"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0"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0"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0"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0"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0"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0"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0"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0"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89"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0"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0"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0"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0"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0"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0"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0"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0"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0"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0"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0"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89"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49"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49"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49"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49"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49"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49"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49"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49"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49"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49"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49"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49"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49"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49"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49"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49"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49"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49"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49"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49"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49"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49"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49"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49"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49"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49"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49"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49"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49"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49"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49"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49"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49"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49"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49"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49"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49"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49"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49"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49"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49"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49"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49"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49"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49"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49"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49"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49"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49"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49"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49"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49"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49"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49"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49"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49"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49"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49"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49"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49"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49"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49"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49"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49"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49"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49"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49"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49"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49"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49"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49"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1"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49"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49"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49"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49"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49"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49"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49"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49"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49"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49"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49"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1"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49"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49"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49"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49"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49"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49"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49"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49"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49"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49"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49"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1"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49"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49"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49"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49"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49"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49"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49"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49"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49"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49"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49"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1"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49"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49"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49"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49"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49"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49"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49"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49"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49"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49"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49"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1"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49"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49"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49"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49"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49"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49"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49"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49"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49"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49"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49"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49"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49"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49"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49"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49"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49"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49"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49"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49"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49"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49"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49"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49"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49"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49"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49"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49"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49"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49"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49"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49"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49"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49"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49"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49"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49"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49"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49"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49"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49"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49"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49"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49"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49"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49"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49"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49"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49"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49"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49"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49"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49"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49"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49"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49"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49"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49"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49"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49"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79" t="s">
        <v>547</v>
      </c>
      <c r="B98" s="298" t="s">
        <v>489</v>
      </c>
      <c r="C98" s="280" t="n">
        <v>3200</v>
      </c>
      <c r="D98" s="280"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0"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0"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0"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0"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0"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0"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0"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0"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0"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0"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99"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0"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0"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0"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0"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0"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0"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0"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0"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0"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0"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0"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99"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0"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0"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0"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0"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0"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0"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0"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0"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0"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0"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0"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8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85"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85"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85"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85"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85"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85"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85"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85"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85"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85"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85"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8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85"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85"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85"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85"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85"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85"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85"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85"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85"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85"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85"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8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49"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49"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49"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49"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49"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49"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49"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49"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49"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49"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49"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49"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49"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49"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49"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49"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49"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49"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49"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49"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49"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49"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49"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49"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49"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49"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49"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49"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49"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49"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49"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49"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49"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49"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49"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49"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49"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49"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49"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49"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49"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49"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49"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49"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49"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49"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49"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49"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49"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49"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49"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49"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49"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49"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49"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49"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49"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49"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49"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49"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86"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86"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86"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86"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86"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86"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86"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86"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86"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86"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86"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87"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86"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86"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86"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86"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86"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86"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86"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86"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86"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86"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86"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87"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86"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86"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86"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86"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86"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86"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86"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86"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86"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86"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86"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87"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86"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86"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86"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86"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86"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86"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86"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86"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86"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86"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86"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87"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86"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86"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86"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86"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86"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86"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86"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86"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86"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86"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86"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87"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49"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49"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49"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49"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49"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49"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49"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49"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49"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49"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49"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49"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49"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49"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49"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49"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49"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49"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49"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49"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49"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49"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49"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49"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49"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49"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49"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49"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49"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49"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49"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49"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49"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49"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49"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49"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49"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49"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49"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49"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49"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49"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49"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49"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49"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49"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49"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49"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49"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49"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49"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49"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49"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49"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49"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49"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49"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49"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49"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49"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57" t="s">
        <v>548</v>
      </c>
      <c r="B99" s="258" t="s">
        <v>339</v>
      </c>
      <c r="C99" s="257" t="n">
        <v>3250</v>
      </c>
      <c r="D99" s="257"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57"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57"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57"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57"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57"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57"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57"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57"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57"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57"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97"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57"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57"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57"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57"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57"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57"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57"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57"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57"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57"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57"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97"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57"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57"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57"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57"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57"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57"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57"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57"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57"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57"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57"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89"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0"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0"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0"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0"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0"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0"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0"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0"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0"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0"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0"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89"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0"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0"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0"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0"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0"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0"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0"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0"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0"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0"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0"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89"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49"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49"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49"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49"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49"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49"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49"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49"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49"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49"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49"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49"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49"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49"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49"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49"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49"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49"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49"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49"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49"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49"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49"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49"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49"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49"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49"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49"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49"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49"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49"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49"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49"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49"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49"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49"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49"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49"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49"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49"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49"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49"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49"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49"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49"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49"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49"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49"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49"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49"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49"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49"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49"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49"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49"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49"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49"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49"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49"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49"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49"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49"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49"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49"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49"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49"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49"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49"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49"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49"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49"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1"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49"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49"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49"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49"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49"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49"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49"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49"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49"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49"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49"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1"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49"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49"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49"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49"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49"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49"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49"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49"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49"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49"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49"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1"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49"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49"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49"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49"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49"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49"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49"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49"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49"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49"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49"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1"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49"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49"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49"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49"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49"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49"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49"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49"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49"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49"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49"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1"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49"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49"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49"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49"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49"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49"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49"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49"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49"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49"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49"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49"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49"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49"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49"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49"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49"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49"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49"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49"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49"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49"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49"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49"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49"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49"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49"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49"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49"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49"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49"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49"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49"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49"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49"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49"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49"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49"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49"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49"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49"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49"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49"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49"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49"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49"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49"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49"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49"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49"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49"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49"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49"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49"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49"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49"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49"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49"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49"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49"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292" t="s">
        <v>549</v>
      </c>
      <c r="B100" s="300" t="s">
        <v>339</v>
      </c>
      <c r="C100" s="292" t="n">
        <v>3300</v>
      </c>
      <c r="D100" s="292"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92"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92"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92"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292"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92"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292"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92"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92"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92"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292"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97"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292"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92"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92"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92"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292"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92"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292"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92"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92"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92"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292"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97"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292"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92"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92"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92"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292"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92"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292"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92"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92"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92"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292"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89"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295"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95"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95"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95"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295"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95"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295"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95"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95"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95"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295"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89"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295"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95"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95"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95"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295"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95"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295"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95"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95"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95"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295"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89"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49"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49"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49"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49"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49"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49"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49"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49"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49"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49"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49"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49"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49"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49"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49"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49"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49"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49"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49"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49"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49"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49"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49"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49"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49"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49"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49"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49"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49"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49"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49"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49"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49"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49"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49"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49"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49"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49"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49"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49"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49"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49"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49"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49"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49"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49"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49"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49"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49"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49"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49"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49"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49"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49"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49"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49"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49"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49"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49"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49"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296"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96"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96"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96"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296"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96"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296"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96"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96"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96"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296"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1"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296"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96"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96"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96"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296"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96"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296"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96"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96"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96"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296"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1"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296"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96"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96"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96"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296"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96"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296"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96"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96"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96"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296"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1"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296"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96"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96"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96"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296"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96"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296"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96"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96"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96"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296"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1"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296"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96"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96"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96"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296"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96"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296"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96"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96"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96"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296"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1"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49"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49"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49"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49"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49"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49"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49"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49"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49"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49"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49"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49"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49"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49"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49"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49"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49"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49"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49"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49"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49"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49"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49"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49"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49"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49"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49"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49"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49"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49"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49"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49"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49"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49"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49"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49"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49"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49"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49"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49"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49"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49"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49"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49"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49"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49"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49"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49"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49"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49"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49"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49"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49"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49"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49"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49"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49"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49"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49"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49"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57" t="s">
        <v>550</v>
      </c>
      <c r="B101" s="258" t="s">
        <v>339</v>
      </c>
      <c r="C101" s="257" t="n">
        <v>3350</v>
      </c>
      <c r="D101" s="257"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57"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57"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57"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57"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57"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57"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57"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57"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57"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57"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97"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57"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57"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57"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57"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57"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57"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57"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57"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57"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57"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57"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97"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57"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57"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57"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57"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57"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57"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57"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57"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57"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57"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57"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89"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0"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0"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0"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0"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0"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0"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0"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0"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0"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0"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0"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89"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0"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0"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0"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0"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0"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0"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0"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0"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0"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0"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0"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89"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49"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49"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49"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49"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49"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49"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49"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49"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49"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49"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49"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49"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49"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49"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49"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49"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49"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49"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49"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49"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49"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49"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49"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49"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49"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49"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49"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49"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49"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49"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49"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49"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49"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49"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49"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49"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49"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49"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49"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49"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49"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49"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49"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49"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49"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49"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49"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49"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49"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49"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49"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49"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49"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49"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49"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49"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49"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49"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49"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49"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49"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49"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49"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49"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49"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49"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49"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49"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49"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49"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49"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1"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49"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49"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49"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49"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49"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49"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49"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49"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49"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49"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49"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1"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49"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49"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49"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49"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49"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49"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49"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49"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49"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49"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49"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1"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49"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49"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49"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49"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49"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49"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49"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49"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49"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49"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49"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1"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49"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49"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49"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49"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49"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49"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49"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49"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49"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49"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49"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1"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49"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49"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49"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49"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49"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49"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49"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49"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49"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49"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49"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49"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49"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49"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49"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49"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49"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49"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49"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49"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49"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49"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49"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49"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49"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49"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49"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49"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49"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49"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49"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49"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49"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49"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49"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49"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49"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49"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49"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49"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49"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49"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49"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49"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49"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49"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49"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49"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49"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49"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49"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49"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49"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49"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49"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49"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49"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49"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49"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49"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292" t="s">
        <v>551</v>
      </c>
      <c r="B102" s="295" t="s">
        <v>339</v>
      </c>
      <c r="C102" s="295" t="n">
        <v>3400</v>
      </c>
      <c r="D102" s="295"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95"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95"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95"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295"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95"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295"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95"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95"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95"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295"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89"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295"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95"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95"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95"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295"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95"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295"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95"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95"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95"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295"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89"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295"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95"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95"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95"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295"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95"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295"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95"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95"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95"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295"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89"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295"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95"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95"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95"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295"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95"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295"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95"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95"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95"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295"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89"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295"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95"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95"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95"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295"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95"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295"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95"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95"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95"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295"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89"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49"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49"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49"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49"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49"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49"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49"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49"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49"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49"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49"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49"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49"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49"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49"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49"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49"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49"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49"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49"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49"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49"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49"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49"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49"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49"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49"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49"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49"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49"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49"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49"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49"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49"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49"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49"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49"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49"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49"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49"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49"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49"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49"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49"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49"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49"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49"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49"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49"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49"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49"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49"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49"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49"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49"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49"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49"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49"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49"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49"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296"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96"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96"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96"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296"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96"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296"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96"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96"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96"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296"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1"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296"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96"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96"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96"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296"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96"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296"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96"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96"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96"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296"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1"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296"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96"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96"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96"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296"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96"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296"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96"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96"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96"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296"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1"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296"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96"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96"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96"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296"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96"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296"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96"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96"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96"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296"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1"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296"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96"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96"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96"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296"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96"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296"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96"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96"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96"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296"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1"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49"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49"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49"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49"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49"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49"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49"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49"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49"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49"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49"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49"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49"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49"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49"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49"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49"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49"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49"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49"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49"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49"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49"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49"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49"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49"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49"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49"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49"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49"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49"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49"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49"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49"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49"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49"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49"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49"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49"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49"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49"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49"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49"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49"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49"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49"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49"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49"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49"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49"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49"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49"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49"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49"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49"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49"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49"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49"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49"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49"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57" t="s">
        <v>552</v>
      </c>
      <c r="B103" s="290" t="s">
        <v>339</v>
      </c>
      <c r="C103" s="290" t="n">
        <v>3450</v>
      </c>
      <c r="D103" s="290"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0"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0"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0"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0"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0"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0"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0"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0"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0"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0"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89"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0"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0"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0"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0"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0"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0"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0"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0"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0"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0"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0"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89"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0"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0"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0"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0"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0"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0"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0"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0"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0"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0"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0"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89"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0"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0"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0"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0"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0"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0"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0"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0"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0"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0"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0"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89"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0"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0"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0"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0"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0"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0"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0"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0"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0"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0"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0"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89"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49"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49"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49"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49"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49"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49"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49"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49"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49"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49"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49"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49"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49"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49"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49"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49"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49"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49"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49"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49"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49"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49"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49"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49"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49"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49"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49"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49"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49"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49"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49"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49"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49"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49"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49"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49"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49"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49"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49"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49"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49"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49"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49"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49"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49"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49"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49"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49"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49"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49"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49"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49"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49"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49"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49"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49"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49"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49"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49"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49"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49"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49"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49"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49"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49"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49"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49"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49"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49"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49"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49"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1"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49"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49"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49"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49"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49"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49"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49"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49"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49"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49"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49"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1"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49"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49"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49"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49"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49"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49"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49"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49"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49"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49"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49"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1"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49"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49"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49"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49"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49"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49"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49"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49"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49"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49"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49"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1"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49"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49"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49"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49"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49"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49"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49"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49"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49"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49"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49"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1"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49"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49"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49"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49"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49"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49"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49"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49"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49"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49"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49"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49"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49"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49"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49"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49"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49"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49"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49"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49"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49"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49"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49"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49"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49"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49"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49"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49"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49"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49"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49"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49"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49"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49"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49"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49"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49"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49"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49"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49"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49"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49"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49"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49"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49"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49"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49"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49"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49"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49"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49"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49"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49"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49"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49"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49"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49"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49"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49"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49"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1" t="s">
        <v>553</v>
      </c>
      <c r="B105" s="301"/>
      <c r="C105" s="301"/>
      <c r="D105" s="301"/>
      <c r="E105" s="301"/>
      <c r="F105" s="301"/>
      <c r="G105" s="301"/>
      <c r="H105" s="301"/>
      <c r="I105" s="301"/>
      <c r="J105" s="301"/>
      <c r="K105" s="301"/>
      <c r="L105" s="301"/>
    </row>
    <row r="106" customFormat="false" ht="40.5" hidden="false" customHeight="true" outlineLevel="0" collapsed="false">
      <c r="A106" s="256" t="s">
        <v>554</v>
      </c>
      <c r="B106" s="256" t="s">
        <v>555</v>
      </c>
      <c r="C106" s="256" t="s">
        <v>39</v>
      </c>
      <c r="D106" s="256" t="s">
        <v>556</v>
      </c>
      <c r="E106" s="256" t="s">
        <v>557</v>
      </c>
      <c r="F106" s="256" t="s">
        <v>558</v>
      </c>
      <c r="G106" s="256" t="s">
        <v>559</v>
      </c>
      <c r="H106" s="256" t="s">
        <v>560</v>
      </c>
      <c r="I106" s="256" t="s">
        <v>561</v>
      </c>
      <c r="J106" s="302" t="s">
        <v>562</v>
      </c>
      <c r="K106" s="302" t="s">
        <v>563</v>
      </c>
      <c r="L106" s="302" t="s">
        <v>564</v>
      </c>
    </row>
    <row r="107" customFormat="false" ht="40.5" hidden="false" customHeight="true" outlineLevel="0" collapsed="false">
      <c r="A107" s="290" t="s">
        <v>565</v>
      </c>
      <c r="B107" s="303" t="n">
        <f aca="false">Calculator!$B$29</f>
        <v>13.3</v>
      </c>
      <c r="C107" s="290" t="str">
        <f aca="false">Calculator!$G$29</f>
        <v>Portable / SOTA</v>
      </c>
      <c r="D107" s="290" t="str">
        <f aca="false">IFERROR(INDEX(A38:A103,MATCH(MIN(O38:O103),O38:O103,0)),"")</f>
        <v>27:1</v>
      </c>
      <c r="E107" s="290" t="n">
        <f aca="false">IFERROR(ROUND(MIN(O38:O103),2),"")</f>
        <v>16.64</v>
      </c>
      <c r="F107" s="290" t="str">
        <f aca="false">IFERROR(INDEX({"4:1★","9:1★","16:1★","25:1★","36:1★","49:1★","64:1★"},MATCH(MIN(O38,O43,O50,O59,O70,O83,O98),INDEX(O$38:O$103,{1,6,13,22,33,46,61}),0)),"—")</f>
        <v>25:1★</v>
      </c>
      <c r="G107" s="290" t="n">
        <f aca="false">IFERROR(ROUND(MIN(O38,O43,O50,O59,O70,O83,O98),2),"—")</f>
        <v>16.67</v>
      </c>
      <c r="H107" s="290" t="str">
        <f aca="false">IFERROR(TEXT(MIN(D8:D18),"0")&amp;" – "&amp;TEXT(MAX(D8:D18),"0")&amp;" Ω","N/A")</f>
        <v>151 – 170 Ω</v>
      </c>
      <c r="I107" s="290" t="str">
        <f aca="false">IFERROR(INDEX(A38:A103,MATCH(MIN(BX38:BX103),BX38:BX103,0)),"")</f>
        <v>27:1</v>
      </c>
      <c r="J107" s="290" t="n">
        <f aca="false">IFERROR(ROUND(MIN(BX38:BX103),2),"")</f>
        <v>13.68</v>
      </c>
      <c r="K107" s="290" t="str">
        <f aca="false">IFERROR(INDEX({"4:1★","9:1★","16:1★","25:1★","36:1★","49:1★","64:1★"},MATCH(MIN(BX38,BX43,BX50,BX59,BX70,BX83,BX98),INDEX(BX$38:BX$103,{1,6,13,22,33,46,61}),0)),"—")</f>
        <v>25:1★</v>
      </c>
      <c r="L107" s="290" t="n">
        <f aca="false">IFERROR(ROUND(MIN(BX38,BX43,BX50,BX59,BX70,BX83,BX98),2),"—")</f>
        <v>13.71</v>
      </c>
    </row>
    <row r="108" customFormat="false" ht="27" hidden="false" customHeight="true" outlineLevel="0" collapsed="false">
      <c r="A108" s="290" t="s">
        <v>566</v>
      </c>
      <c r="B108" s="303" t="n">
        <f aca="false">Calculator!$B$30</f>
        <v>13.4</v>
      </c>
      <c r="C108" s="290" t="str">
        <f aca="false">Calculator!$G$30</f>
        <v>Portable / SOTA</v>
      </c>
      <c r="D108" s="290" t="str">
        <f aca="false">IFERROR(INDEX(A38:A103,MATCH(MIN(AA38:AA103),AA38:AA103,0)),"")</f>
        <v>26:1</v>
      </c>
      <c r="E108" s="290" t="n">
        <f aca="false">IFERROR(ROUND(MIN(AA38:AA103),2),"")</f>
        <v>17</v>
      </c>
      <c r="F108" s="290" t="str">
        <f aca="false">IFERROR(INDEX({"4:1★","9:1★","16:1★","25:1★","36:1★","49:1★","64:1★"},MATCH(MIN(AA38,AA43,AA50,AA59,AA70,AA83,AA98),INDEX(AA$38:AA$103,{1,6,13,22,33,46,61}),0)),"—")</f>
        <v>25:1★</v>
      </c>
      <c r="G108" s="290" t="n">
        <f aca="false">IFERROR(ROUND(MIN(AA38,AA43,AA50,AA59,AA70,AA83,AA98),2),"—")</f>
        <v>17.03</v>
      </c>
      <c r="H108" s="290" t="str">
        <f aca="false">IFERROR(TEXT(MIN(E8:E18),"0")&amp;" – "&amp;TEXT(MAX(E8:E18),"0")&amp;" Ω","N/A")</f>
        <v>150 – 160 Ω</v>
      </c>
      <c r="I108" s="290" t="str">
        <f aca="false">IFERROR(INDEX(A38:A103,MATCH(MIN(CJ38:CJ103),CJ38:CJ103,0)),"")</f>
        <v>27:1</v>
      </c>
      <c r="J108" s="290" t="n">
        <f aca="false">IFERROR(ROUND(MIN(CJ38:CJ103),2),"")</f>
        <v>13.95</v>
      </c>
      <c r="K108" s="290" t="str">
        <f aca="false">IFERROR(INDEX({"4:1★","9:1★","16:1★","25:1★","36:1★","49:1★","64:1★"},MATCH(MIN(CJ38,CJ43,CJ50,CJ59,CJ70,CJ83,CJ98),INDEX(CJ$38:CJ$103,{1,6,13,22,33,46,61}),0)),"—")</f>
        <v>25:1★</v>
      </c>
      <c r="L108" s="290" t="n">
        <f aca="false">IFERROR(ROUND(MIN(CJ38,CJ43,CJ50,CJ59,CJ70,CJ83,CJ98),2),"—")</f>
        <v>13.97</v>
      </c>
    </row>
    <row r="109" customFormat="false" ht="27" hidden="false" customHeight="true" outlineLevel="0" collapsed="false">
      <c r="A109" s="290" t="s">
        <v>567</v>
      </c>
      <c r="B109" s="303" t="n">
        <f aca="false">Calculator!$B$31</f>
        <v>13.2</v>
      </c>
      <c r="C109" s="290" t="str">
        <f aca="false">Calculator!$G$31</f>
        <v>Portable / SOTA</v>
      </c>
      <c r="D109" s="290" t="str">
        <f aca="false">IFERROR(INDEX(A38:A103,MATCH(MIN(AM38:AM103),AM38:AM103,0)),"")</f>
        <v>27:1</v>
      </c>
      <c r="E109" s="290" t="n">
        <f aca="false">IFERROR(ROUND(MIN(AM38:AM103),2),"")</f>
        <v>16.28</v>
      </c>
      <c r="F109" s="290" t="str">
        <f aca="false">IFERROR(INDEX({"4:1★","9:1★","16:1★","25:1★","36:1★","49:1★","64:1★"},MATCH(MIN(AM38,AM43,AM50,AM59,AM70,AM83,AM98),INDEX(AM$38:AM$103,{1,6,13,22,33,46,61}),0)),"—")</f>
        <v>25:1★</v>
      </c>
      <c r="G109" s="290" t="n">
        <f aca="false">IFERROR(ROUND(MIN(AM38,AM43,AM50,AM59,AM70,AM83,AM98),2),"—")</f>
        <v>16.32</v>
      </c>
      <c r="H109" s="290" t="str">
        <f aca="false">IFERROR(TEXT(MIN(F8:F18),"0")&amp;" – "&amp;TEXT(MAX(F8:F18),"0")&amp;" Ω","N/A")</f>
        <v>142 – 192 Ω</v>
      </c>
      <c r="I109" s="290" t="str">
        <f aca="false">IFERROR(INDEX(A38:A103,MATCH(MIN(CV38:CV103),CV38:CV103,0)),"")</f>
        <v>27:1</v>
      </c>
      <c r="J109" s="290" t="n">
        <f aca="false">IFERROR(ROUND(MIN(CV38:CV103),2),"")</f>
        <v>13.38</v>
      </c>
      <c r="K109" s="290" t="str">
        <f aca="false">IFERROR(INDEX({"4:1★","9:1★","16:1★","25:1★","36:1★","49:1★","64:1★"},MATCH(MIN(CV38,CV43,CV50,CV59,CV70,CV83,CV98),INDEX(CV$38:CV$103,{1,6,13,22,33,46,61}),0)),"—")</f>
        <v>25:1★</v>
      </c>
      <c r="L109" s="290" t="n">
        <f aca="false">IFERROR(ROUND(MIN(CV38,CV43,CV50,CV59,CV70,CV83,CV98),2),"—")</f>
        <v>13.41</v>
      </c>
    </row>
    <row r="110" customFormat="false" ht="40.5" hidden="false" customHeight="true" outlineLevel="0" collapsed="false">
      <c r="A110" s="290" t="s">
        <v>568</v>
      </c>
      <c r="B110" s="303" t="n">
        <f aca="false">Calculator!$B$32</f>
        <v>23.3</v>
      </c>
      <c r="C110" s="290" t="str">
        <f aca="false">Calculator!$G$32</f>
        <v>Good portable/home</v>
      </c>
      <c r="D110" s="290" t="str">
        <f aca="false">IFERROR(INDEX(A38:A103,MATCH(MIN(AY38:AY103),AY38:AY103,0)),"")</f>
        <v>29:1</v>
      </c>
      <c r="E110" s="290" t="n">
        <f aca="false">IFERROR(ROUND(MIN(AY38:AY103),2),"")</f>
        <v>8.86</v>
      </c>
      <c r="F110" s="290" t="str">
        <f aca="false">IFERROR(INDEX({"4:1★","9:1★","16:1★","25:1★","36:1★","49:1★","64:1★"},MATCH(MIN(AY38,AY43,AY50,AY59,AY70,AY83,AY98),INDEX(AY$38:AY$103,{1,6,13,22,33,46,61}),0)),"—")</f>
        <v>25:1★</v>
      </c>
      <c r="G110" s="290" t="n">
        <f aca="false">IFERROR(ROUND(MIN(AY38,AY43,AY50,AY59,AY70,AY83,AY98),2),"—")</f>
        <v>8.97</v>
      </c>
      <c r="H110" s="290" t="str">
        <f aca="false">IFERROR(TEXT(MIN(G8:G18),"0")&amp;" – "&amp;TEXT(MAX(G8:G18),"0")&amp;" Ω","N/A")</f>
        <v>181 – 1299 Ω</v>
      </c>
      <c r="I110" s="290" t="str">
        <f aca="false">IFERROR(INDEX(A38:A103,MATCH(MIN(DH38:DH103),DH38:DH103,0)),"")</f>
        <v>29:1</v>
      </c>
      <c r="J110" s="290" t="n">
        <f aca="false">IFERROR(ROUND(MIN(DH38:DH103),2),"")</f>
        <v>7.77</v>
      </c>
      <c r="K110" s="290" t="str">
        <f aca="false">IFERROR(INDEX({"4:1★","9:1★","16:1★","25:1★","36:1★","49:1★","64:1★"},MATCH(MIN(DH38,DH43,DH50,DH59,DH70,DH83,DH98),INDEX(DH$38:DH$103,{1,6,13,22,33,46,61}),0)),"—")</f>
        <v>25:1★</v>
      </c>
      <c r="L110" s="290" t="n">
        <f aca="false">IFERROR(ROUND(MIN(DH38,DH43,DH50,DH59,DH70,DH83,DH98),2),"—")</f>
        <v>7.87</v>
      </c>
    </row>
    <row r="111" customFormat="false" ht="27" hidden="false" customHeight="true" outlineLevel="0" collapsed="false">
      <c r="A111" s="290" t="s">
        <v>569</v>
      </c>
      <c r="B111" s="303" t="n">
        <f aca="false">Calculator!$B$33</f>
        <v>23.4</v>
      </c>
      <c r="C111" s="290" t="str">
        <f aca="false">Calculator!$G$33</f>
        <v>Good portable/home</v>
      </c>
      <c r="D111" s="290" t="str">
        <f aca="false">IFERROR(INDEX(A38:A103,MATCH(MIN(BK38:BK103),BK38:BK103,0)),"")</f>
        <v>28:1</v>
      </c>
      <c r="E111" s="290" t="n">
        <f aca="false">IFERROR(ROUND(MIN(BK38:BK103),2),"")</f>
        <v>9.66</v>
      </c>
      <c r="F111" s="290" t="str">
        <f aca="false">IFERROR(INDEX({"4:1★","9:1★","16:1★","25:1★","36:1★","49:1★","64:1★"},MATCH(MIN(BK38,BK43,BK50,BK59,BK70,BK83,BK98),INDEX(BK$38:BK$103,{1,6,13,22,33,46,61}),0)),"—")</f>
        <v>25:1★</v>
      </c>
      <c r="G111" s="290" t="n">
        <f aca="false">IFERROR(ROUND(MIN(BK38,BK43,BK50,BK59,BK70,BK83,BK98),2),"—")</f>
        <v>9.73</v>
      </c>
      <c r="H111" s="290" t="str">
        <f aca="false">IFERROR(TEXT(MIN(H8:H18),"0")&amp;" – "&amp;TEXT(MAX(H8:H18),"0")&amp;" Ω","N/A")</f>
        <v>160 – 1223 Ω</v>
      </c>
      <c r="I111" s="290" t="str">
        <f aca="false">IFERROR(INDEX(A38:A103,MATCH(MIN(DT38:DT103),DT38:DT103,0)),"")</f>
        <v>28:1</v>
      </c>
      <c r="J111" s="290" t="n">
        <f aca="false">IFERROR(ROUND(MIN(DT38:DT103),2),"")</f>
        <v>8.34</v>
      </c>
      <c r="K111" s="290" t="str">
        <f aca="false">IFERROR(INDEX({"4:1★","9:1★","16:1★","25:1★","36:1★","49:1★","64:1★"},MATCH(MIN(DT38,DT43,DT50,DT59,DT70,DT83,DT98),INDEX(DT$38:DT$103,{1,6,13,22,33,46,61}),0)),"—")</f>
        <v>25:1★</v>
      </c>
      <c r="L111" s="290" t="n">
        <f aca="false">IFERROR(ROUND(MIN(DT38,DT43,DT50,DT59,DT70,DT83,DT98),2),"—")</f>
        <v>8.41</v>
      </c>
    </row>
    <row r="112" customFormat="false" ht="27" hidden="false" customHeight="true" outlineLevel="0" collapsed="false">
      <c r="A112" s="290" t="s">
        <v>570</v>
      </c>
      <c r="B112" s="303" t="n">
        <f aca="false">Calculator!$B$34</f>
        <v>13.1</v>
      </c>
      <c r="C112" s="290" t="str">
        <f aca="false">Calculator!$G$34</f>
        <v>Portable / SOTA</v>
      </c>
      <c r="D112" s="290" t="str">
        <f aca="false">IFERROR(INDEX(A38:A103,MATCH(MIN(EF38:EF103),EF38:EF103,0)),"")</f>
        <v>26:1</v>
      </c>
      <c r="E112" s="290" t="n">
        <f aca="false">IFERROR(ROUND(MIN(EF38:EF103),2),"")</f>
        <v>15.95</v>
      </c>
      <c r="F112" s="290" t="str">
        <f aca="false">IFERROR(INDEX({"4:1★","9:1★","16:1★","25:1★","36:1★","49:1★","64:1★"},MATCH(MIN(EF38,EF43,EF50,EF59,EF70,EF83,EF98),INDEX(BK$38:BK$103,{1,6,13,22,33,46,61}),0)),"—")</f>
        <v>—</v>
      </c>
      <c r="G112" s="290" t="n">
        <f aca="false">IFERROR(ROUND(MIN(EF38,EF43,EF50,EF59,EF70,EF83,EF98),2),"—")</f>
        <v>15.97</v>
      </c>
      <c r="H112" s="290"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0" t="str">
        <f aca="false">IFERROR(INDEX(A38:A103,MATCH(MIN(GO38:GO103),GO38:GO103,0)),"")</f>
        <v>27:1</v>
      </c>
      <c r="J112" s="290" t="n">
        <f aca="false">IFERROR(ROUND(MIN(GO38:GO103),2),"")</f>
        <v>13.06</v>
      </c>
      <c r="K112" s="290" t="str">
        <f aca="false">IFERROR(INDEX({"4:1★","9:1★","16:1★","25:1★","36:1★","49:1★","64:1★"},MATCH(MIN(GO38,GO43,GO50,GO59,GO70,GO83,GO98),INDEX(DT$38:DT$103,{1,6,13,22,33,46,61}),0)),"—")</f>
        <v>—</v>
      </c>
      <c r="L112" s="290" t="n">
        <f aca="false">IFERROR(ROUND(MIN(GO38,GO43,GO50,GO59,GO70,GO83,GO98),2),"—")</f>
        <v>13.09</v>
      </c>
    </row>
    <row r="113" customFormat="false" ht="40.5" hidden="false" customHeight="true" outlineLevel="0" collapsed="false">
      <c r="A113" s="290" t="s">
        <v>571</v>
      </c>
      <c r="B113" s="303" t="n">
        <f aca="false">Calculator!$B$35</f>
        <v>16.7</v>
      </c>
      <c r="C113" s="290" t="str">
        <f aca="false">Calculator!$G$35</f>
        <v>Portable / SOTA</v>
      </c>
      <c r="D113" s="290" t="str">
        <f aca="false">IFERROR(INDEX(A38:A103,MATCH(MIN(ER38:ER103),ER38:ER103,0)),"")</f>
        <v>27:1</v>
      </c>
      <c r="E113" s="290" t="n">
        <f aca="false">IFERROR(ROUND(MIN(ER38:ER103),2),"")</f>
        <v>10.34</v>
      </c>
      <c r="F113" s="290" t="str">
        <f aca="false">IFERROR(INDEX({"4:1★","9:1★","16:1★","25:1★","36:1★","49:1★","64:1★"},MATCH(MIN(ER38,ER43,ER50,ER59,ER70,ER83,ER98),INDEX(BK$38:BK$103,{1,6,13,22,33,46,61}),0)),"—")</f>
        <v>—</v>
      </c>
      <c r="G113" s="290" t="n">
        <f aca="false">IFERROR(ROUND(MIN(ER38,ER43,ER50,ER59,ER70,ER83,ER98),2),"—")</f>
        <v>10.38</v>
      </c>
      <c r="H113" s="290"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0" t="str">
        <f aca="false">IFERROR(INDEX(A38:A103,MATCH(MIN(HA38:HA103),HA38:HA103,0)),"")</f>
        <v>28:1</v>
      </c>
      <c r="J113" s="290" t="n">
        <f aca="false">IFERROR(ROUND(MIN(HA38:HA103),2),"")</f>
        <v>8.73</v>
      </c>
      <c r="K113" s="290" t="str">
        <f aca="false">IFERROR(INDEX({"4:1★","9:1★","16:1★","25:1★","36:1★","49:1★","64:1★"},MATCH(MIN(HA38,HA43,HA50,HA59,HA70,HA83,HA98),INDEX(DT$38:DT$103,{1,6,13,22,33,46,61}),0)),"—")</f>
        <v>—</v>
      </c>
      <c r="L113" s="290" t="n">
        <f aca="false">IFERROR(ROUND(MIN(HA38,HA43,HA50,HA59,HA70,HA83,HA98),2),"—")</f>
        <v>8.78</v>
      </c>
    </row>
    <row r="114" customFormat="false" ht="27" hidden="false" customHeight="true" outlineLevel="0" collapsed="false">
      <c r="A114" s="290" t="s">
        <v>572</v>
      </c>
      <c r="B114" s="303" t="n">
        <f aca="false">Calculator!$B$36</f>
        <v>13.5</v>
      </c>
      <c r="C114" s="290" t="str">
        <f aca="false">Calculator!$G$36</f>
        <v>Portable / SOTA</v>
      </c>
      <c r="D114" s="290" t="str">
        <f aca="false">IFERROR(INDEX(A38:A103,MATCH(MIN(FD38:FD103),FD38:FD103,0)),"")</f>
        <v>26:1</v>
      </c>
      <c r="E114" s="290" t="n">
        <f aca="false">IFERROR(ROUND(MIN(FD38:FD103),2),"")</f>
        <v>17.34</v>
      </c>
      <c r="F114" s="290" t="str">
        <f aca="false">IFERROR(INDEX({"4:1★","9:1★","16:1★","25:1★","36:1★","49:1★","64:1★"},MATCH(MIN(FD38,FD43,FD50,FD59,FD70,FD83,FD98),INDEX(BK$38:BK$103,{1,6,13,22,33,46,61}),0)),"—")</f>
        <v>—</v>
      </c>
      <c r="G114" s="290" t="n">
        <f aca="false">IFERROR(ROUND(MIN(FD38,FD43,FD50,FD59,FD70,FD83,FD98),2),"—")</f>
        <v>17.36</v>
      </c>
      <c r="H114" s="290"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0" t="str">
        <f aca="false">IFERROR(INDEX(A38:A103,MATCH(MIN(HM38:HM103),HM38:HM103,0)),"")</f>
        <v>26:1</v>
      </c>
      <c r="J114" s="290" t="n">
        <f aca="false">IFERROR(ROUND(MIN(HM38:HM103),2),"")</f>
        <v>14.16</v>
      </c>
      <c r="K114" s="290" t="str">
        <f aca="false">IFERROR(INDEX({"4:1★","9:1★","16:1★","25:1★","36:1★","49:1★","64:1★"},MATCH(MIN(HM38,HM43,HM50,HM59,HM70,HM83,HM98),INDEX(DT$38:DT$103,{1,6,13,22,33,46,61}),0)),"—")</f>
        <v>—</v>
      </c>
      <c r="L114" s="290" t="n">
        <f aca="false">IFERROR(ROUND(MIN(HM38,HM43,HM50,HM59,HM70,HM83,HM98),2),"—")</f>
        <v>14.18</v>
      </c>
    </row>
    <row r="115" customFormat="false" ht="40.5" hidden="false" customHeight="true" outlineLevel="0" collapsed="false">
      <c r="A115" s="290" t="s">
        <v>573</v>
      </c>
      <c r="B115" s="303" t="n">
        <f aca="false">Calculator!$B$37</f>
        <v>23.2</v>
      </c>
      <c r="C115" s="290" t="str">
        <f aca="false">Calculator!$G$37</f>
        <v>Good portable/home</v>
      </c>
      <c r="D115" s="290" t="str">
        <f aca="false">IFERROR(INDEX(A38:A103,MATCH(MIN(FP38:FP103),FP38:FP103,0)),"")</f>
        <v>30:1</v>
      </c>
      <c r="E115" s="290" t="n">
        <f aca="false">IFERROR(ROUND(MIN(FP38:FP103),2),"")</f>
        <v>8.07</v>
      </c>
      <c r="F115" s="290" t="str">
        <f aca="false">IFERROR(INDEX({"4:1★","9:1★","16:1★","25:1★","36:1★","49:1★","64:1★"},MATCH(MIN(FP38,FP43,FP50,FP59,FP70,FP83,FP98),INDEX(BK$38:BK$103,{1,6,13,22,33,46,61}),0)),"—")</f>
        <v>—</v>
      </c>
      <c r="G115" s="290" t="n">
        <f aca="false">IFERROR(ROUND(MIN(FP38,FP43,FP50,FP59,FP70,FP83,FP98),2),"—")</f>
        <v>8.21</v>
      </c>
      <c r="H115" s="290"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0" t="str">
        <f aca="false">IFERROR(INDEX(A38:A103,MATCH(MIN(HY38:HY103),HY38:HY103,0)),"")</f>
        <v>31:1</v>
      </c>
      <c r="J115" s="290" t="n">
        <f aca="false">IFERROR(ROUND(MIN(HY38:HY103),2),"")</f>
        <v>7.19</v>
      </c>
      <c r="K115" s="290" t="str">
        <f aca="false">IFERROR(INDEX({"4:1★","9:1★","16:1★","25:1★","36:1★","49:1★","64:1★"},MATCH(MIN(HY38,HY43,HY50,HY59,HY70,HY83,HY98),INDEX(DT$38:DT$103,{1,6,13,22,33,46,61}),0)),"—")</f>
        <v>—</v>
      </c>
      <c r="L115" s="290" t="n">
        <f aca="false">IFERROR(ROUND(MIN(HY38,HY43,HY50,HY59,HY70,HY83,HY98),2),"—")</f>
        <v>7.3</v>
      </c>
    </row>
    <row r="116" customFormat="false" ht="40.5" hidden="false" customHeight="true" outlineLevel="0" collapsed="false">
      <c r="A116" s="290" t="s">
        <v>574</v>
      </c>
      <c r="B116" s="303" t="n">
        <f aca="false">Calculator!$B$38</f>
        <v>16.8</v>
      </c>
      <c r="C116" s="290" t="str">
        <f aca="false">Calculator!$G$38</f>
        <v>Portable / SOTA</v>
      </c>
      <c r="D116" s="290" t="str">
        <f aca="false">IFERROR(INDEX(A38:A103,MATCH(MIN(GB38:GB103),GB38:GB103,0)),"")</f>
        <v>28:1</v>
      </c>
      <c r="E116" s="290" t="n">
        <f aca="false">IFERROR(ROUND(MIN(GB38:GB103),2),"")</f>
        <v>9.57</v>
      </c>
      <c r="F116" s="290" t="str">
        <f aca="false">IFERROR(INDEX({"4:1★","9:1★","16:1★","25:1★","36:1★","49:1★","64:1★"},MATCH(MIN(GB38,GB43,GB50,GB59,GB70,GB83,GB98),INDEX(BK$38:BK$103,{1,6,13,22,33,46,61}),0)),"—")</f>
        <v>—</v>
      </c>
      <c r="G116" s="290" t="n">
        <f aca="false">IFERROR(ROUND(MIN(GB38,GB43,GB50,GB59,GB70,GB83,GB98),2),"—")</f>
        <v>9.64</v>
      </c>
      <c r="H116" s="290"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0" t="str">
        <f aca="false">IFERROR(INDEX(A38:A103,MATCH(MIN(IK38:IK103),IK38:IK103,0)),"")</f>
        <v>29:1</v>
      </c>
      <c r="J116" s="290" t="n">
        <f aca="false">IFERROR(ROUND(MIN(IK38:IK103),2),"")</f>
        <v>8.22</v>
      </c>
      <c r="K116" s="290" t="str">
        <f aca="false">IFERROR(INDEX({"4:1★","9:1★","16:1★","25:1★","36:1★","49:1★","64:1★"},MATCH(MIN(IK38,IK43,IK50,IK59,IK70,IK83,IK98),INDEX(DT$38:DT$103,{1,6,13,22,33,46,61}),0)),"—")</f>
        <v>—</v>
      </c>
      <c r="L116" s="290"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1" sqref="A30:D45 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04" t="s">
        <v>575</v>
      </c>
      <c r="B1" s="304" t="s">
        <v>576</v>
      </c>
      <c r="C1" s="304" t="s">
        <v>577</v>
      </c>
      <c r="D1" s="304" t="s">
        <v>578</v>
      </c>
      <c r="E1" s="304" t="s">
        <v>579</v>
      </c>
      <c r="F1" s="304" t="s">
        <v>580</v>
      </c>
      <c r="G1" s="305" t="s">
        <v>581</v>
      </c>
    </row>
    <row r="2" customFormat="false" ht="13.5" hidden="false" customHeight="true" outlineLevel="0" collapsed="false">
      <c r="A2" s="74" t="s">
        <v>582</v>
      </c>
      <c r="B2" s="74" t="s">
        <v>583</v>
      </c>
      <c r="C2" s="74" t="n">
        <v>510</v>
      </c>
      <c r="D2" s="74" t="n">
        <v>29</v>
      </c>
      <c r="E2" s="74" t="n">
        <v>19</v>
      </c>
      <c r="F2" s="74" t="n">
        <v>7.5</v>
      </c>
      <c r="G2" s="305" t="n">
        <v>0.38</v>
      </c>
    </row>
    <row r="3" customFormat="false" ht="13.5" hidden="false" customHeight="true" outlineLevel="0" collapsed="false">
      <c r="A3" s="74" t="s">
        <v>584</v>
      </c>
      <c r="B3" s="74" t="s">
        <v>583</v>
      </c>
      <c r="C3" s="74" t="n">
        <v>885</v>
      </c>
      <c r="D3" s="74" t="n">
        <v>35.6</v>
      </c>
      <c r="E3" s="74" t="n">
        <v>22.9</v>
      </c>
      <c r="F3" s="74" t="n">
        <v>12.7</v>
      </c>
      <c r="G3" s="305" t="n">
        <v>0.63</v>
      </c>
    </row>
    <row r="4" customFormat="false" ht="13.5" hidden="false" customHeight="true" outlineLevel="0" collapsed="false">
      <c r="A4" s="74" t="s">
        <v>585</v>
      </c>
      <c r="B4" s="74" t="s">
        <v>583</v>
      </c>
      <c r="C4" s="74" t="n">
        <v>1075</v>
      </c>
      <c r="D4" s="74" t="n">
        <v>61</v>
      </c>
      <c r="E4" s="74" t="n">
        <v>35.6</v>
      </c>
      <c r="F4" s="74" t="n">
        <v>12.7</v>
      </c>
      <c r="G4" s="305" t="n">
        <v>1.52</v>
      </c>
    </row>
    <row r="5" customFormat="false" ht="13.5" hidden="false" customHeight="true" outlineLevel="0" collapsed="false">
      <c r="A5" s="74" t="s">
        <v>586</v>
      </c>
      <c r="B5" s="74" t="s">
        <v>587</v>
      </c>
      <c r="C5" s="74" t="n">
        <v>800</v>
      </c>
      <c r="D5" s="74" t="n">
        <v>29</v>
      </c>
      <c r="E5" s="74" t="n">
        <v>19</v>
      </c>
      <c r="F5" s="74" t="n">
        <v>7.5</v>
      </c>
      <c r="G5" s="305" t="n">
        <v>0.38</v>
      </c>
    </row>
    <row r="6" customFormat="false" ht="13.5" hidden="false" customHeight="true" outlineLevel="0" collapsed="false">
      <c r="A6" s="74" t="s">
        <v>588</v>
      </c>
      <c r="B6" s="74" t="s">
        <v>587</v>
      </c>
      <c r="C6" s="74" t="n">
        <v>1390</v>
      </c>
      <c r="D6" s="74" t="n">
        <v>35.6</v>
      </c>
      <c r="E6" s="74" t="n">
        <v>22.9</v>
      </c>
      <c r="F6" s="74" t="n">
        <v>12.7</v>
      </c>
      <c r="G6" s="305" t="n">
        <v>0.63</v>
      </c>
    </row>
    <row r="7" customFormat="false" ht="13.5" hidden="false" customHeight="true" outlineLevel="0" collapsed="false">
      <c r="A7" s="74" t="s">
        <v>589</v>
      </c>
      <c r="B7" s="74" t="s">
        <v>587</v>
      </c>
      <c r="C7" s="74" t="n">
        <v>1800</v>
      </c>
      <c r="D7" s="74" t="n">
        <v>61</v>
      </c>
      <c r="E7" s="74" t="n">
        <v>35.6</v>
      </c>
      <c r="F7" s="74" t="n">
        <v>12.7</v>
      </c>
      <c r="G7" s="305" t="n">
        <v>1.52</v>
      </c>
    </row>
    <row r="8" customFormat="false" ht="13.5" hidden="false" customHeight="true" outlineLevel="0" collapsed="false">
      <c r="A8" s="74" t="s">
        <v>590</v>
      </c>
      <c r="B8" s="74" t="s">
        <v>591</v>
      </c>
      <c r="C8" s="74" t="n">
        <v>175</v>
      </c>
      <c r="D8" s="74" t="n">
        <v>29</v>
      </c>
      <c r="E8" s="74" t="n">
        <v>19</v>
      </c>
      <c r="F8" s="74" t="n">
        <v>7.5</v>
      </c>
      <c r="G8" s="305" t="n">
        <v>0.38</v>
      </c>
    </row>
    <row r="9" customFormat="false" ht="13.5" hidden="false" customHeight="true" outlineLevel="0" collapsed="false">
      <c r="A9" s="74" t="s">
        <v>592</v>
      </c>
      <c r="B9" s="74" t="s">
        <v>591</v>
      </c>
      <c r="C9" s="74" t="n">
        <v>225</v>
      </c>
      <c r="D9" s="74" t="n">
        <v>35.6</v>
      </c>
      <c r="E9" s="74" t="n">
        <v>22.9</v>
      </c>
      <c r="F9" s="74" t="n">
        <v>12.7</v>
      </c>
      <c r="G9" s="305" t="n">
        <v>0.63</v>
      </c>
    </row>
    <row r="10" customFormat="false" ht="13.5" hidden="false" customHeight="true" outlineLevel="0" collapsed="false">
      <c r="A10" s="74" t="s">
        <v>593</v>
      </c>
      <c r="B10" s="74" t="s">
        <v>591</v>
      </c>
      <c r="C10" s="74" t="n">
        <v>300</v>
      </c>
      <c r="D10" s="74" t="n">
        <v>61</v>
      </c>
      <c r="E10" s="74" t="n">
        <v>35.6</v>
      </c>
      <c r="F10" s="74" t="n">
        <v>12.7</v>
      </c>
      <c r="G10" s="305" t="n">
        <v>1.52</v>
      </c>
    </row>
    <row r="11" customFormat="false" ht="13.5" hidden="false" customHeight="true" outlineLevel="0" collapsed="false">
      <c r="A11" s="74" t="s">
        <v>594</v>
      </c>
      <c r="B11" s="74" t="s">
        <v>595</v>
      </c>
      <c r="C11" s="74" t="n">
        <v>79.3</v>
      </c>
      <c r="D11" s="74" t="n">
        <v>29</v>
      </c>
      <c r="E11" s="74" t="n">
        <v>19</v>
      </c>
      <c r="F11" s="74" t="n">
        <v>7.5</v>
      </c>
      <c r="G11" s="305" t="n">
        <v>0.38</v>
      </c>
    </row>
    <row r="12" customFormat="false" ht="13.5" hidden="false" customHeight="true" outlineLevel="0" collapsed="false">
      <c r="A12" s="74" t="s">
        <v>596</v>
      </c>
      <c r="B12" s="74" t="s">
        <v>595</v>
      </c>
      <c r="C12" s="74" t="n">
        <v>140</v>
      </c>
      <c r="D12" s="74" t="n">
        <v>35.6</v>
      </c>
      <c r="E12" s="74" t="n">
        <v>22.9</v>
      </c>
      <c r="F12" s="74" t="n">
        <v>12.7</v>
      </c>
      <c r="G12" s="305" t="n">
        <v>0.63</v>
      </c>
    </row>
    <row r="13" customFormat="false" ht="13.5" hidden="false" customHeight="true" outlineLevel="0" collapsed="false">
      <c r="A13" s="74" t="s">
        <v>597</v>
      </c>
      <c r="B13" s="74" t="s">
        <v>595</v>
      </c>
      <c r="C13" s="74" t="n">
        <v>170</v>
      </c>
      <c r="D13" s="74" t="n">
        <v>61</v>
      </c>
      <c r="E13" s="74" t="n">
        <v>35.6</v>
      </c>
      <c r="F13" s="74" t="n">
        <v>12.7</v>
      </c>
      <c r="G13" s="305" t="n">
        <v>1.52</v>
      </c>
    </row>
    <row r="14" customFormat="false" ht="13.5" hidden="false" customHeight="true" outlineLevel="0" collapsed="false">
      <c r="A14" s="74" t="s">
        <v>598</v>
      </c>
      <c r="B14" s="74" t="s">
        <v>599</v>
      </c>
      <c r="C14" s="74" t="n">
        <v>11</v>
      </c>
      <c r="D14" s="74" t="n">
        <v>33</v>
      </c>
      <c r="E14" s="74" t="n">
        <v>19.8</v>
      </c>
      <c r="F14" s="74" t="n">
        <v>11.1</v>
      </c>
      <c r="G14" s="305" t="n">
        <v>0.85</v>
      </c>
    </row>
    <row r="15" customFormat="false" ht="13.5" hidden="false" customHeight="true" outlineLevel="0" collapsed="false">
      <c r="A15" s="74" t="s">
        <v>118</v>
      </c>
      <c r="B15" s="74" t="s">
        <v>599</v>
      </c>
      <c r="C15" s="74" t="n">
        <v>12</v>
      </c>
      <c r="D15" s="74" t="n">
        <v>50.8</v>
      </c>
      <c r="E15" s="74" t="n">
        <v>31.8</v>
      </c>
      <c r="F15" s="74" t="n">
        <v>14</v>
      </c>
      <c r="G15" s="305" t="n">
        <v>1.58</v>
      </c>
    </row>
    <row r="16" customFormat="false" ht="13.5" hidden="false" customHeight="true" outlineLevel="0" collapsed="false">
      <c r="A16" s="74" t="s">
        <v>600</v>
      </c>
      <c r="B16" s="74" t="s">
        <v>601</v>
      </c>
      <c r="C16" s="74" t="n">
        <v>9.6</v>
      </c>
      <c r="D16" s="74" t="n">
        <v>33</v>
      </c>
      <c r="E16" s="74" t="n">
        <v>19.8</v>
      </c>
      <c r="F16" s="74" t="n">
        <v>11.1</v>
      </c>
      <c r="G16" s="305" t="n">
        <v>0.85</v>
      </c>
    </row>
    <row r="17" customFormat="false" ht="13.5" hidden="false" customHeight="true" outlineLevel="0" collapsed="false">
      <c r="A17" s="74" t="s">
        <v>602</v>
      </c>
      <c r="B17" s="74" t="s">
        <v>601</v>
      </c>
      <c r="C17" s="74" t="n">
        <v>11.6</v>
      </c>
      <c r="D17" s="74" t="n">
        <v>50.8</v>
      </c>
      <c r="E17" s="74" t="n">
        <v>31.8</v>
      </c>
      <c r="F17" s="74" t="n">
        <v>14</v>
      </c>
      <c r="G17" s="305"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2026-06-03T13:10:00Z</dcterms:modified>
  <cp:revision>268</cp:revision>
  <dc:subject/>
  <dc:title/>
</cp:coreProperties>
</file>

<file path=docProps/custom.xml><?xml version="1.0" encoding="utf-8"?>
<Properties xmlns="http://schemas.openxmlformats.org/officeDocument/2006/custom-properties" xmlns:vt="http://schemas.openxmlformats.org/officeDocument/2006/docPropsVTypes"/>
</file>