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hnav0003/Downloads/"/>
    </mc:Choice>
  </mc:AlternateContent>
  <xr:revisionPtr revIDLastSave="0" documentId="13_ncr:1_{719E28E7-AF31-9140-A83C-7831F81115EA}" xr6:coauthVersionLast="47" xr6:coauthVersionMax="47" xr10:uidLastSave="{00000000-0000-0000-0000-000000000000}"/>
  <bookViews>
    <workbookView xWindow="0" yWindow="760" windowWidth="34560" windowHeight="19840" firstSheet="2" activeTab="9" xr2:uid="{00000000-000D-0000-FFFF-FFFF00000000}"/>
  </bookViews>
  <sheets>
    <sheet name="Included Papers List" sheetId="1" r:id="rId1"/>
    <sheet name="Form responses 1" sheetId="2" r:id="rId2"/>
    <sheet name="Data Extracted by Hira" sheetId="3" r:id="rId3"/>
    <sheet name="CleanedData" sheetId="4" state="hidden" r:id="rId4"/>
    <sheet name="Quality Assesment" sheetId="5" r:id="rId5"/>
    <sheet name="Publication Trends" sheetId="6" r:id="rId6"/>
    <sheet name="RQ1 Motivations and Goals" sheetId="7" r:id="rId7"/>
    <sheet name="RQ2 MDE approaches for ML" sheetId="8" r:id="rId8"/>
    <sheet name="RQ3 Evaluation &amp; Tools" sheetId="9" r:id="rId9"/>
    <sheet name="RQ4 Limitations &amp; Challeng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2" i="10" l="1"/>
  <c r="D62" i="10"/>
  <c r="E61" i="10"/>
  <c r="D61" i="10"/>
  <c r="E60" i="10"/>
  <c r="D60" i="10"/>
  <c r="E43" i="10"/>
  <c r="D43" i="10"/>
  <c r="E42" i="10"/>
  <c r="D42" i="10"/>
  <c r="E41" i="10"/>
  <c r="D41" i="10"/>
  <c r="E40" i="10"/>
  <c r="D40" i="10"/>
  <c r="E39" i="10"/>
  <c r="D39" i="10"/>
  <c r="E37" i="10"/>
  <c r="D37" i="10"/>
  <c r="E36" i="10"/>
  <c r="D36" i="10"/>
  <c r="E35" i="10"/>
  <c r="D35" i="10"/>
  <c r="E34" i="10"/>
  <c r="D34" i="10"/>
  <c r="E33" i="10"/>
  <c r="D33" i="10"/>
  <c r="E32" i="10"/>
  <c r="D32" i="10"/>
  <c r="E31" i="10"/>
  <c r="D31" i="10"/>
  <c r="E30" i="10"/>
  <c r="D30" i="10"/>
  <c r="E29" i="10"/>
  <c r="D29" i="10"/>
  <c r="E27" i="10"/>
  <c r="D27" i="10"/>
  <c r="E26" i="10"/>
  <c r="D26" i="10"/>
  <c r="E25" i="10"/>
  <c r="D25" i="10"/>
  <c r="E22" i="10"/>
  <c r="D22" i="10"/>
  <c r="E21" i="10"/>
  <c r="D21" i="10"/>
  <c r="E20" i="10"/>
  <c r="D20" i="10"/>
  <c r="E19" i="10"/>
  <c r="D19" i="10"/>
  <c r="E18" i="10"/>
  <c r="D18" i="10"/>
  <c r="E17" i="10"/>
  <c r="D17" i="10"/>
  <c r="E16" i="10"/>
  <c r="D16" i="10"/>
  <c r="E13" i="10"/>
  <c r="D13" i="10"/>
  <c r="E12" i="10"/>
  <c r="D12" i="10"/>
  <c r="E10" i="10"/>
  <c r="D10" i="10"/>
  <c r="E7" i="10"/>
  <c r="D7" i="10"/>
  <c r="E3" i="10"/>
  <c r="D3" i="10"/>
  <c r="E2" i="10"/>
  <c r="D2" i="10"/>
  <c r="R72" i="9"/>
  <c r="Q72" i="9"/>
  <c r="R71" i="9"/>
  <c r="Q71" i="9"/>
  <c r="R70" i="9"/>
  <c r="Q70" i="9"/>
  <c r="O61" i="9"/>
  <c r="N61" i="9"/>
  <c r="O60" i="9"/>
  <c r="N60" i="9"/>
  <c r="E60" i="9"/>
  <c r="D60" i="9"/>
  <c r="O59" i="9"/>
  <c r="N59" i="9"/>
  <c r="E59" i="9"/>
  <c r="D59" i="9"/>
  <c r="O58" i="9"/>
  <c r="N58" i="9"/>
  <c r="E58" i="9"/>
  <c r="D58" i="9"/>
  <c r="O57" i="9"/>
  <c r="N57" i="9"/>
  <c r="E57" i="9"/>
  <c r="D57" i="9"/>
  <c r="O56" i="9"/>
  <c r="N56" i="9"/>
  <c r="E56" i="9"/>
  <c r="D56" i="9"/>
  <c r="O55" i="9"/>
  <c r="N55" i="9"/>
  <c r="E55" i="9"/>
  <c r="D55" i="9"/>
  <c r="O54" i="9"/>
  <c r="N54" i="9"/>
  <c r="E54" i="9"/>
  <c r="D54" i="9"/>
  <c r="O53" i="9"/>
  <c r="N53" i="9"/>
  <c r="E53" i="9"/>
  <c r="D53" i="9"/>
  <c r="O52" i="9"/>
  <c r="N52" i="9"/>
  <c r="E52" i="9"/>
  <c r="D52" i="9"/>
  <c r="O51" i="9"/>
  <c r="N51" i="9"/>
  <c r="E51" i="9"/>
  <c r="D51" i="9"/>
  <c r="O50" i="9"/>
  <c r="N50" i="9"/>
  <c r="E50" i="9"/>
  <c r="D50" i="9"/>
  <c r="O49" i="9"/>
  <c r="N49" i="9"/>
  <c r="E49" i="9"/>
  <c r="D49" i="9"/>
  <c r="O48" i="9"/>
  <c r="N48" i="9"/>
  <c r="E48" i="9"/>
  <c r="D48" i="9"/>
  <c r="O47" i="9"/>
  <c r="N47" i="9"/>
  <c r="E47" i="9"/>
  <c r="D47" i="9"/>
  <c r="O46" i="9"/>
  <c r="N46" i="9"/>
  <c r="E46" i="9"/>
  <c r="D46" i="9"/>
  <c r="O45" i="9"/>
  <c r="N45" i="9"/>
  <c r="E45" i="9"/>
  <c r="D45" i="9"/>
  <c r="O44" i="9"/>
  <c r="N44" i="9"/>
  <c r="E44" i="9"/>
  <c r="D44" i="9"/>
  <c r="O43" i="9"/>
  <c r="N43" i="9"/>
  <c r="E43" i="9"/>
  <c r="D43" i="9"/>
  <c r="O42" i="9"/>
  <c r="N42" i="9"/>
  <c r="E42" i="9"/>
  <c r="D42" i="9"/>
  <c r="O41" i="9"/>
  <c r="N41" i="9"/>
  <c r="E41" i="9"/>
  <c r="D41" i="9"/>
  <c r="O40" i="9"/>
  <c r="N40" i="9"/>
  <c r="E40" i="9"/>
  <c r="D40" i="9"/>
  <c r="O39" i="9"/>
  <c r="N39" i="9"/>
  <c r="E39" i="9"/>
  <c r="D39" i="9"/>
  <c r="O38" i="9"/>
  <c r="N38" i="9"/>
  <c r="E38" i="9"/>
  <c r="D38" i="9"/>
  <c r="D10" i="9"/>
  <c r="C10" i="9"/>
  <c r="U9" i="9"/>
  <c r="N9" i="9"/>
  <c r="M9" i="9"/>
  <c r="I9" i="9"/>
  <c r="H9" i="9"/>
  <c r="D9" i="9"/>
  <c r="C9" i="9"/>
  <c r="T8" i="9"/>
  <c r="N8" i="9"/>
  <c r="M8" i="9"/>
  <c r="I8" i="9"/>
  <c r="H8" i="9"/>
  <c r="D8" i="9"/>
  <c r="C8" i="9"/>
  <c r="T7" i="9"/>
  <c r="S7" i="9"/>
  <c r="N7" i="9"/>
  <c r="M7" i="9"/>
  <c r="I7" i="9"/>
  <c r="H7" i="9"/>
  <c r="D7" i="9"/>
  <c r="C7" i="9"/>
  <c r="K138" i="8"/>
  <c r="K137" i="8"/>
  <c r="K118" i="8"/>
  <c r="K117" i="8"/>
  <c r="K116" i="8"/>
  <c r="K115" i="8"/>
  <c r="K114" i="8"/>
  <c r="K113" i="8"/>
  <c r="K112" i="8"/>
  <c r="K111" i="8"/>
  <c r="K92" i="8"/>
  <c r="K91" i="8"/>
  <c r="K90" i="8"/>
  <c r="K86" i="8"/>
  <c r="K85" i="8"/>
  <c r="K84" i="8"/>
  <c r="U69" i="8"/>
  <c r="T69" i="8"/>
  <c r="U68" i="8"/>
  <c r="T68" i="8"/>
  <c r="U67" i="8"/>
  <c r="T67" i="8"/>
  <c r="U66" i="8"/>
  <c r="T66" i="8"/>
  <c r="U65" i="8"/>
  <c r="T65" i="8"/>
  <c r="D65" i="8"/>
  <c r="C65" i="8"/>
  <c r="U64" i="8"/>
  <c r="T64" i="8"/>
  <c r="D64" i="8"/>
  <c r="C64" i="8"/>
  <c r="U63" i="8"/>
  <c r="T63" i="8"/>
  <c r="D63" i="8"/>
  <c r="C63" i="8"/>
  <c r="U62" i="8"/>
  <c r="T62" i="8"/>
  <c r="I62" i="8"/>
  <c r="H62" i="8"/>
  <c r="D62" i="8"/>
  <c r="C62" i="8"/>
  <c r="I61" i="8"/>
  <c r="H61" i="8"/>
  <c r="D61" i="8"/>
  <c r="C61" i="8"/>
  <c r="T52" i="8"/>
  <c r="S52" i="8"/>
  <c r="T51" i="8"/>
  <c r="S51" i="8"/>
  <c r="T50" i="8"/>
  <c r="S50" i="8"/>
  <c r="T49" i="8"/>
  <c r="S49" i="8"/>
  <c r="T48" i="8"/>
  <c r="S48" i="8"/>
  <c r="T47" i="8"/>
  <c r="S47" i="8"/>
  <c r="D47" i="8"/>
  <c r="T46" i="8"/>
  <c r="S46" i="8"/>
  <c r="D46" i="8"/>
  <c r="T45" i="8"/>
  <c r="S45" i="8"/>
  <c r="D45" i="8"/>
  <c r="T44" i="8"/>
  <c r="S44" i="8"/>
  <c r="D44" i="8"/>
  <c r="T43" i="8"/>
  <c r="S43" i="8"/>
  <c r="D43" i="8"/>
  <c r="T42" i="8"/>
  <c r="S42" i="8"/>
  <c r="T41" i="8"/>
  <c r="S41" i="8"/>
  <c r="T40" i="8"/>
  <c r="S40" i="8"/>
  <c r="T39" i="8"/>
  <c r="S39" i="8"/>
  <c r="T38" i="8"/>
  <c r="S38" i="8"/>
  <c r="T37" i="8"/>
  <c r="S37" i="8"/>
  <c r="T36" i="8"/>
  <c r="S36" i="8"/>
  <c r="T35" i="8"/>
  <c r="S35" i="8"/>
  <c r="T34" i="8"/>
  <c r="S34" i="8"/>
  <c r="T33" i="8"/>
  <c r="S33" i="8"/>
  <c r="T32" i="8"/>
  <c r="S32" i="8"/>
  <c r="T31" i="8"/>
  <c r="S31" i="8"/>
  <c r="I31" i="8"/>
  <c r="H31" i="8"/>
  <c r="T30" i="8"/>
  <c r="S30" i="8"/>
  <c r="I30" i="8"/>
  <c r="H30" i="8"/>
  <c r="T8" i="8"/>
  <c r="S8" i="8"/>
  <c r="R8" i="8"/>
  <c r="N8" i="8"/>
  <c r="M8" i="8"/>
  <c r="E8" i="8"/>
  <c r="D8" i="8"/>
  <c r="C8" i="8"/>
  <c r="T7" i="8"/>
  <c r="S7" i="8"/>
  <c r="R7" i="8"/>
  <c r="N7" i="8"/>
  <c r="M7" i="8"/>
  <c r="J7" i="8"/>
  <c r="I7" i="8"/>
  <c r="H7" i="8"/>
  <c r="E7" i="8"/>
  <c r="D7" i="8"/>
  <c r="C7" i="8"/>
  <c r="T6" i="8"/>
  <c r="S6" i="8"/>
  <c r="R6" i="8"/>
  <c r="N6" i="8"/>
  <c r="M6" i="8"/>
  <c r="J6" i="8"/>
  <c r="I6" i="8"/>
  <c r="H6" i="8"/>
  <c r="E6" i="8"/>
  <c r="D6" i="8"/>
  <c r="C6" i="8"/>
  <c r="E62" i="7"/>
  <c r="E61" i="7"/>
  <c r="E60" i="7"/>
  <c r="E59" i="7"/>
  <c r="E58" i="7"/>
  <c r="E57" i="7"/>
  <c r="P56" i="7"/>
  <c r="O56" i="7"/>
  <c r="E56" i="7"/>
  <c r="P55" i="7"/>
  <c r="O55" i="7"/>
  <c r="E55" i="7"/>
  <c r="P54" i="7"/>
  <c r="O54" i="7"/>
  <c r="E54" i="7"/>
  <c r="P53" i="7"/>
  <c r="O53" i="7"/>
  <c r="E53" i="7"/>
  <c r="P52" i="7"/>
  <c r="O52" i="7"/>
  <c r="E52" i="7"/>
  <c r="P51" i="7"/>
  <c r="O51" i="7"/>
  <c r="E51" i="7"/>
  <c r="P50" i="7"/>
  <c r="O50" i="7"/>
  <c r="E50" i="7"/>
  <c r="E21" i="7"/>
  <c r="E20" i="7"/>
  <c r="E19" i="7"/>
  <c r="E18" i="7"/>
  <c r="U17" i="7"/>
  <c r="T17" i="7"/>
  <c r="E17" i="7"/>
  <c r="U16" i="7"/>
  <c r="T16" i="7"/>
  <c r="E16" i="7"/>
  <c r="U15" i="7"/>
  <c r="T15" i="7"/>
  <c r="E15" i="7"/>
  <c r="U14" i="7"/>
  <c r="T14" i="7"/>
  <c r="E14" i="7"/>
  <c r="U13" i="7"/>
  <c r="T13" i="7"/>
  <c r="P13" i="7"/>
  <c r="O13" i="7"/>
  <c r="E13" i="7"/>
  <c r="U12" i="7"/>
  <c r="T12" i="7"/>
  <c r="P12" i="7"/>
  <c r="O12" i="7"/>
  <c r="K12" i="7"/>
  <c r="J12" i="7"/>
  <c r="E12" i="7"/>
  <c r="U11" i="7"/>
  <c r="T11" i="7"/>
  <c r="P11" i="7"/>
  <c r="O11" i="7"/>
  <c r="K11" i="7"/>
  <c r="J11" i="7"/>
  <c r="E11" i="7"/>
  <c r="U10" i="7"/>
  <c r="T10" i="7"/>
  <c r="P10" i="7"/>
  <c r="O10" i="7"/>
  <c r="K10" i="7"/>
  <c r="J10" i="7"/>
  <c r="E10" i="7"/>
  <c r="U9" i="7"/>
  <c r="T9" i="7"/>
  <c r="P9" i="7"/>
  <c r="O9" i="7"/>
  <c r="E9" i="7"/>
  <c r="U8" i="7"/>
  <c r="T8" i="7"/>
  <c r="P8" i="7"/>
  <c r="O8" i="7"/>
  <c r="K8" i="7"/>
  <c r="J8" i="7"/>
  <c r="E8" i="7"/>
  <c r="U7" i="7"/>
  <c r="T7" i="7"/>
  <c r="P7" i="7"/>
  <c r="O7" i="7"/>
  <c r="J7" i="7"/>
  <c r="E7" i="7"/>
  <c r="P6" i="7"/>
  <c r="O6" i="7"/>
  <c r="K6" i="7"/>
  <c r="J6" i="7"/>
  <c r="E6" i="7"/>
  <c r="I29" i="6"/>
  <c r="I28" i="6"/>
  <c r="I27" i="6"/>
  <c r="I26" i="6"/>
  <c r="I25" i="6"/>
  <c r="I24" i="6"/>
  <c r="I23" i="6"/>
  <c r="C19" i="6"/>
  <c r="C18" i="6"/>
  <c r="C17" i="6"/>
  <c r="C16" i="6"/>
  <c r="G47" i="5"/>
  <c r="G46" i="5"/>
  <c r="G45" i="5"/>
  <c r="G44" i="5"/>
  <c r="G43" i="5"/>
  <c r="G42" i="5"/>
  <c r="G41" i="5"/>
  <c r="G40" i="5"/>
  <c r="G39" i="5"/>
  <c r="G38" i="5"/>
  <c r="G37" i="5"/>
  <c r="G35" i="5"/>
  <c r="G34" i="5"/>
  <c r="G33" i="5"/>
  <c r="G32" i="5"/>
  <c r="G31" i="5"/>
  <c r="G30" i="5"/>
  <c r="G29" i="5"/>
  <c r="G28" i="5"/>
  <c r="G27" i="5"/>
  <c r="G26" i="5"/>
  <c r="G25" i="5"/>
  <c r="G24" i="5"/>
  <c r="G20" i="5"/>
  <c r="G19" i="5"/>
  <c r="G18" i="5"/>
  <c r="G17" i="5"/>
  <c r="G16" i="5"/>
  <c r="G15" i="5"/>
  <c r="G14" i="5"/>
  <c r="G13" i="5"/>
  <c r="G12" i="5"/>
  <c r="G11" i="5"/>
  <c r="G10" i="5"/>
  <c r="G9" i="5"/>
  <c r="G8" i="5"/>
  <c r="G7" i="5"/>
  <c r="G6" i="5"/>
  <c r="G5" i="5"/>
</calcChain>
</file>

<file path=xl/sharedStrings.xml><?xml version="1.0" encoding="utf-8"?>
<sst xmlns="http://schemas.openxmlformats.org/spreadsheetml/2006/main" count="11311" uniqueCount="2233">
  <si>
    <t>Paper ID</t>
  </si>
  <si>
    <t>Paper Title</t>
  </si>
  <si>
    <t>Authors of the paper?</t>
  </si>
  <si>
    <t>Published year?</t>
  </si>
  <si>
    <t>Publication Venue (Journal, conference, workshop) name?</t>
  </si>
  <si>
    <t>Type of study?</t>
  </si>
  <si>
    <t xml:space="preserve">Source type? </t>
  </si>
  <si>
    <t>Citation count</t>
  </si>
  <si>
    <t>P1</t>
  </si>
  <si>
    <t>MoDLF: a model-driven deep learning framework for autonomous vehicle perception (AVP)</t>
  </si>
  <si>
    <t>Aon Safdar, Farooque Azam, Muhammad Waseem Anwar, Usman Akram,Yawar Rasheed</t>
  </si>
  <si>
    <t>MODELS</t>
  </si>
  <si>
    <t>Conference</t>
  </si>
  <si>
    <t>ACM</t>
  </si>
  <si>
    <t>P2</t>
  </si>
  <si>
    <t>Towards Model-based Bias Mitigation in Machine Learning</t>
  </si>
  <si>
    <t>Alfa Yohannis, Dimitris Kolovos</t>
  </si>
  <si>
    <t>P3</t>
  </si>
  <si>
    <t>MoDALAS: Model-Driven Assurance for Learning-Enabled Autonomous Systems</t>
  </si>
  <si>
    <t>Michael Austin Langford, Kenneth H. Chan, Jonathon Emil Fleck, and Philip K. McKinley, Betty H.C. Cheng</t>
  </si>
  <si>
    <t>IEEE</t>
  </si>
  <si>
    <t>P4</t>
  </si>
  <si>
    <t>Feature-Oriented Modularization of Deep Learning APIs</t>
  </si>
  <si>
    <t>Yechuan Shi, Jörg Kienzle, Jin L.C. Guo</t>
  </si>
  <si>
    <t>MODELS Companion</t>
  </si>
  <si>
    <t>Workshop</t>
  </si>
  <si>
    <t>P5</t>
  </si>
  <si>
    <t>Modeling Deep Reinforcement Learning based Architectures for Cyber-Physical Systems</t>
  </si>
  <si>
    <t>Nicola Gatto, Evgeny Kusmenko, Bernhard Rumpe</t>
  </si>
  <si>
    <t>P6</t>
  </si>
  <si>
    <t>A Model-Driven Engineering Approach for Monitoring Machine Learning Models</t>
  </si>
  <si>
    <t>Panagiotis Kourouklidis, Dimitris Kolovos, Joost Noppen, Nicholas Matragkas</t>
  </si>
  <si>
    <t>P7</t>
  </si>
  <si>
    <t>Model Driven Approach for Neural Networks</t>
  </si>
  <si>
    <t>Issam Al-Azzoni</t>
  </si>
  <si>
    <t>International Conference on Intelligent Data Science Technologies and Applications (IDSTA)</t>
  </si>
  <si>
    <t>P8</t>
  </si>
  <si>
    <t>Modeling and Training of Neural Processing Systems</t>
  </si>
  <si>
    <t>Evgeny Kusmenko, Sebastian Nickels, Svetlana Pavlitskaya, Bernhard Rumpe, Thomas Timmermanns</t>
  </si>
  <si>
    <t>P9</t>
  </si>
  <si>
    <t>Supporting AI Engineering on the IoT Edge through Model-Driven TinyML</t>
  </si>
  <si>
    <t xml:space="preserve">Armin Moin, Moharram Challenger, Atta Badii, Stephan Gunnemann </t>
  </si>
  <si>
    <t>Annual Computers, Software, and Applications Conference (COMPSAC)</t>
  </si>
  <si>
    <t>P10</t>
  </si>
  <si>
    <t>A domain-specific language for describing machine learning datasets</t>
  </si>
  <si>
    <t>Joan Giner-Miguelez, Abel Gómez, Jordi Cabot</t>
  </si>
  <si>
    <t>Journal of Computer Languages</t>
  </si>
  <si>
    <t>Journal</t>
  </si>
  <si>
    <t>Snowballing</t>
  </si>
  <si>
    <t>P11</t>
  </si>
  <si>
    <t>Artifact and Reference Models for Generative Machine Learning Frameworks and Build Systems</t>
  </si>
  <si>
    <t xml:space="preserve">Abdallah Atouani, Jörg Christian Kirchhof, Evgeny Kusmenko, Bernhard Rumpe </t>
  </si>
  <si>
    <t xml:space="preserve">ACM SIGPLAN International Conference on Generative Programming: Concepts and Experiences (GPCE) </t>
  </si>
  <si>
    <t>P12</t>
  </si>
  <si>
    <t>Dynamic Data Management for Continuous Retraining</t>
  </si>
  <si>
    <t>Nils Baumann, Evgeny Kusmenko, Jonas Ritz, Bernhard Rumpe, Moritz Benedikt Weber</t>
  </si>
  <si>
    <t>P13</t>
  </si>
  <si>
    <t>STRATUM: A BigData-as-a-Service for Lifecycle Management of IoT Analytics Applications</t>
  </si>
  <si>
    <t>Anirban Bhattacharjee, Yogesh Barve, Shweta Khare, Shunxing Bao, Zhuangwei Kang and Aniruddha Gokhale, Thomas Damiano</t>
  </si>
  <si>
    <t>IEEE International Conference on Big Data</t>
  </si>
  <si>
    <t>P14</t>
  </si>
  <si>
    <t>An MDE Method for Improving Deep Learning Dataset Requirements Engineering using Alloy and UML</t>
  </si>
  <si>
    <t xml:space="preserve">Benoˆıt Ries, Nicolas Guelfi and Benjamin Jahic´ </t>
  </si>
  <si>
    <t>MODELSWARD</t>
  </si>
  <si>
    <t>Scopus</t>
  </si>
  <si>
    <t>P15</t>
  </si>
  <si>
    <t>A Unified Model Representation of Machine Learning Knowledge</t>
  </si>
  <si>
    <t>J.G. Enrıquez, A. Martınez-Rojas, D. Lizcano and A. Jimenez-Ramırez</t>
  </si>
  <si>
    <t>Journal of Web Engineering</t>
  </si>
  <si>
    <t>P16</t>
  </si>
  <si>
    <t>When DevOps meets Meta-Learning: A portfolio to rule them all</t>
  </si>
  <si>
    <t>Benjamin Benni, Mireille Blay-Fornarino, Sebastien Mosser, Frederic Precioso, Gunther Jungbluth</t>
  </si>
  <si>
    <t>P17</t>
  </si>
  <si>
    <t>Realization of a Machine Learning Domain Specific Modeling Language: A Baseball Analytics Case Study</t>
  </si>
  <si>
    <t>Kaan Koseler , Kelsea McGraw , and Matthew Stephan</t>
  </si>
  <si>
    <t>P18</t>
  </si>
  <si>
    <t>Towards Goal-based Generation of Reinforcement Learning Domain Simulations</t>
  </si>
  <si>
    <t>Sotirios Liaskos , Shakil M. Khan , Reza Golipour and John Mylopoulos</t>
  </si>
  <si>
    <t xml:space="preserve">International i* Workshop </t>
  </si>
  <si>
    <t>P19</t>
  </si>
  <si>
    <t>A Model-Driven Framework for Optimum Application Placement in Fog Computing Using a Machine Learning Based Approach</t>
  </si>
  <si>
    <t>Madeha Arif, Farooque Azam, Muhammad Waseem Anwar, and Yawar Rasheed</t>
  </si>
  <si>
    <t>Information and Software Technologies (ICIST)</t>
  </si>
  <si>
    <t>Springer</t>
  </si>
  <si>
    <t>P20</t>
  </si>
  <si>
    <t>Bridging the Gap between Smart Home Platforms and Machine Learning using Relational Reference Attribute Grammars</t>
  </si>
  <si>
    <t>René Schöne, Johannes Mey, Boqi Ren and Uwe Aßmann</t>
  </si>
  <si>
    <t>P21</t>
  </si>
  <si>
    <t xml:space="preserve">Towards Model-Driven Engineering for Big Data Analytics – An Exploratory Analysis of Domain-Specific Languages for Machine Learning </t>
  </si>
  <si>
    <t xml:space="preserve">Dominic Breuker </t>
  </si>
  <si>
    <t>Hawaii International Conference on System Science</t>
  </si>
  <si>
    <t>P22</t>
  </si>
  <si>
    <t>A model-driven approach to machine learning and software modeling for the IoT</t>
  </si>
  <si>
    <t>Armin Moin, Moharram Challenger, Atta Badii , Stephan Günnemann</t>
  </si>
  <si>
    <t>Software and Systems Modeling</t>
  </si>
  <si>
    <t>P23</t>
  </si>
  <si>
    <t>The next evolution of MDE: a seamless integration of machine learning into domain modeling</t>
  </si>
  <si>
    <t>Thomas Hartmann, Assaad Moawad, Francois Fouquet, Yves Le Traon</t>
  </si>
  <si>
    <t>P24</t>
  </si>
  <si>
    <t>Collaborative Creation and Training of Social Bots in Learning Communities</t>
  </si>
  <si>
    <t>Alexander Tobias Neumann, Peter de Lange, Ralf Klamma</t>
  </si>
  <si>
    <t>International Conference on Collaboration and Internet Computing (CIC)</t>
  </si>
  <si>
    <t>P25</t>
  </si>
  <si>
    <t>Model-Driven Approach to Fading-Aware Wireless Network Planning Leveraging Multiobjective Optimization and Deep Learning</t>
  </si>
  <si>
    <t>Dragana Krstic, Nenad Petrovic´ and Issam Al-Azzoni</t>
  </si>
  <si>
    <t>Mathematical Problems in Engineering</t>
  </si>
  <si>
    <t>P26</t>
  </si>
  <si>
    <t>Metamodel Specialisation based Tool Extension</t>
  </si>
  <si>
    <t>Paulis BARZDINS , Audris KALNINS , Edgars CELMS , Janis BARZDINS , Arturs SPROGIS , Mikus GRASMANIS , Sergejs RIKACOVS , Guntis BARZDINS</t>
  </si>
  <si>
    <t>Baltic Journal of Modern Computing</t>
  </si>
  <si>
    <t>P27</t>
  </si>
  <si>
    <t>Applying Machine Learning and Model Driven Approach for the Identification and Diagnosis Of Covid-19</t>
  </si>
  <si>
    <t xml:space="preserve">Mohammed Nadjib TABBICHE, Mohammed fethi KHALFI, Reda ADJOUDJ </t>
  </si>
  <si>
    <t>International Journal of Distributed Systems and Technologies (IJDST)</t>
  </si>
  <si>
    <t>P28</t>
  </si>
  <si>
    <t>Towards a standard-based domain-specific platform to solve machine learning-based problems</t>
  </si>
  <si>
    <t>Vicente García-Díaz, Jordán Pascual Espada, B. Cristina Pelayo G-Bustelo, and Juan Manuel Cueva Lovelle</t>
  </si>
  <si>
    <t>International Journal of Artificial Intelligence and Interactive Multimedia</t>
  </si>
  <si>
    <t>Web of Science</t>
  </si>
  <si>
    <t>P29</t>
  </si>
  <si>
    <t xml:space="preserve">Modeling bio inspired systems: Towards a new view based on MDE </t>
  </si>
  <si>
    <t xml:space="preserve">SEIF EDDINE MILI, DJAMEL MESLATI </t>
  </si>
  <si>
    <t>Journal of Theoretical and Applied Information Technology</t>
  </si>
  <si>
    <t>not available on Google Scholar</t>
  </si>
  <si>
    <t>P30</t>
  </si>
  <si>
    <t>Model-driven agent-based simulation development: A modeling language and empirical evaluation in the adaptive traffic signal control domain</t>
  </si>
  <si>
    <t>Fernando Santos, Ingrid Nunes, Ana L.C. Bazzan</t>
  </si>
  <si>
    <t>Simulation Modelling Practice and Theory</t>
  </si>
  <si>
    <t>Science Direct</t>
  </si>
  <si>
    <t>P31</t>
  </si>
  <si>
    <t>Predictions-on-chip: model-based training and automated deployment of machine learning models at runtime</t>
  </si>
  <si>
    <t xml:space="preserve">Sebastian Pilarski, Martin Staniszewski, Matthew Bryan, Frederic Villeneuve &amp; Dániel Varró </t>
  </si>
  <si>
    <t>P32</t>
  </si>
  <si>
    <t>Pyrus: An Online Modeling Environment for No-Code Data-Analytics Service Composition</t>
  </si>
  <si>
    <t>Philip Zweihoff and Bernhard Steffen</t>
  </si>
  <si>
    <t>Leveraging Applications of Formal Methods, Verification and Validation</t>
  </si>
  <si>
    <t>P33</t>
  </si>
  <si>
    <t>Exploiting augmented intelligence in the modeling of safety-critical autonomous systems</t>
  </si>
  <si>
    <t>Zhibin Yang, Yang Bao, Yongqiang Yang, Zhiqiu Huang, Jean-Paul Bodeveix, Mamoun Filali and Zonghua Gu</t>
  </si>
  <si>
    <t>Formal Aspects of Computing</t>
  </si>
  <si>
    <t>P34</t>
  </si>
  <si>
    <t>S3Mining: A model-driven engineering approach for supporting novice data miners in selecting suitable classifiers</t>
  </si>
  <si>
    <t>Roberto Espinosa , Diego García-Saiz, Marta Zorrilla , José Jacobo Zubcoff, Jose-Norberto Mazón</t>
  </si>
  <si>
    <t>Computer Standards &amp; Interfaces</t>
  </si>
  <si>
    <t>P35</t>
  </si>
  <si>
    <t>An End-to-End Model-based Approach to Support Big Data Analytics Development</t>
  </si>
  <si>
    <t>Hourieh Khalajzadeh, Andrew Simmons, Mohamed Abdelrazek, John Grundy, John Hosking , Qiang He</t>
  </si>
  <si>
    <t>P36</t>
  </si>
  <si>
    <t>Model-based Engineering for the Integration of Manufacturing Systems with Advanced Analytics</t>
  </si>
  <si>
    <t>David Lechevalier, Anantha Narayanan, Sudarsan Rachuri, Sebti Foufou,Y. Tina Lee</t>
  </si>
  <si>
    <t>IFIP International Conference on Product Lifecycle Management</t>
  </si>
  <si>
    <t>P37</t>
  </si>
  <si>
    <t>Model-Driven Approach to Blockchain-Enabled MLOps</t>
  </si>
  <si>
    <t>Nenad Petrović</t>
  </si>
  <si>
    <t>International Conference IcETRAN</t>
  </si>
  <si>
    <t>P38</t>
  </si>
  <si>
    <t>Base Station Anomaly Prediction Leveraging Model-Driven Framework for Classification in Neo4j</t>
  </si>
  <si>
    <t>Nenad Petrovic; Issam Al-Azzoni; Dragana Krstic; Abdullah Alqahtani</t>
  </si>
  <si>
    <t>International Conference on Broadband Communications for Next Generation Networks and Multimedia Applications (CoBCom)</t>
  </si>
  <si>
    <t>P39</t>
  </si>
  <si>
    <t>SEMKIS-DSL: A Domain-Specific Language to Support Requirements Engineering of Datasets and Neural Network Recognition</t>
  </si>
  <si>
    <t>Benjamin Jahi , Nicolas Guelfi and Benoît Ries</t>
  </si>
  <si>
    <t xml:space="preserve">Information </t>
  </si>
  <si>
    <t>P40</t>
  </si>
  <si>
    <t>Marlon – A Domain-Specific Language for Multi-Agent Reinforcement Learning on Networks</t>
  </si>
  <si>
    <t>Tim Molderez, Bjarno Oeyen, Coen De Roover, Wolfgang De Meuter</t>
  </si>
  <si>
    <t>Symposium on Applied Computing (SAC)</t>
  </si>
  <si>
    <t>Symposium</t>
  </si>
  <si>
    <t>P41</t>
  </si>
  <si>
    <t>OptiML: An Implicitly Parallel Domain-Specific Language for Machine Learning</t>
  </si>
  <si>
    <t xml:space="preserve">Arvind K. Sujeeth, HyoukJoong Lee, Kevin J. Brown, Hassan Chafi, Michael Wu, Anand R. Atreya, Kunle Olukotun </t>
  </si>
  <si>
    <t>International Conference on Machine Learning</t>
  </si>
  <si>
    <t>P42</t>
  </si>
  <si>
    <t>Design and Implementation of DeepDSL: A DSL for Deep Learning</t>
  </si>
  <si>
    <t>Tian Zhao, Xiaobing Huang</t>
  </si>
  <si>
    <t xml:space="preserve"> Computer Languages, Systems &amp; Structures</t>
  </si>
  <si>
    <t>P43</t>
  </si>
  <si>
    <t>Machine learning in ScalOps, a higher order cloud computing language</t>
  </si>
  <si>
    <t>Markus Weimer, Tyson Condie, Raghu Ramakrishnan</t>
  </si>
  <si>
    <t xml:space="preserve">NIPS Workshop on parallel and large-scale machine learning (BigLearn) </t>
  </si>
  <si>
    <t>P44</t>
  </si>
  <si>
    <t>StreamBrain: An HPC Framework for Brain-like Neural Networks on CPUs, GPUs and FPGAs</t>
  </si>
  <si>
    <t>Artur Podobas,  Martin Svedin,  Steven W. D. Chien  ,  Ivy B. Peng,  Naresh Balaji Ravichandran,  Pawel Herman,  Anders Lansner,  Stefano Markidis</t>
  </si>
  <si>
    <t>International Symposium on Highly Efficient Accelerators and Reconfigurable Technologies (HEART)</t>
  </si>
  <si>
    <t>P45</t>
  </si>
  <si>
    <t>An OPC UA-Compliant Interface of Data Analytics Models for Interoperable Manufacturing Intelligence</t>
  </si>
  <si>
    <t>Seung-Jun Shin</t>
  </si>
  <si>
    <t>TRANSACTIONS ON INDUSTRIAL INFORMATICS</t>
  </si>
  <si>
    <t>P46</t>
  </si>
  <si>
    <t>Diesel: DSL for Linear Algebra and Neural Net Computations on GPUs</t>
  </si>
  <si>
    <t>Venmugil Elango,  Norm Rubin,  Mahesh Ravishankar,  Hariharan Sandanagobalane,  Vinod Grover</t>
  </si>
  <si>
    <t>International Workshop on Machine Learning and Programming Languages (MAPL)</t>
  </si>
  <si>
    <t>Timestamp</t>
  </si>
  <si>
    <t>Email address</t>
  </si>
  <si>
    <t>Paper ID?</t>
  </si>
  <si>
    <t>Paper title?</t>
  </si>
  <si>
    <t>What is the motivation/goal of this study?</t>
  </si>
  <si>
    <t xml:space="preserve">What is the benefit of this study? </t>
  </si>
  <si>
    <t>What type of ML systems are considered in the study? e.g. Machine learning, deep learning, reinforcement learning, computer vision etc.</t>
  </si>
  <si>
    <t>What software platform(s) does the study target?</t>
  </si>
  <si>
    <t>What is the domain of the study?</t>
  </si>
  <si>
    <t>Who are the target end users of the approach presented in the paper?</t>
  </si>
  <si>
    <t>What are the final outcomes of the study? e.g. a framework, a modeling language, a code generator etc</t>
  </si>
  <si>
    <t>What information has been modeled in the study?</t>
  </si>
  <si>
    <t>Are models expressed visually or textually?</t>
  </si>
  <si>
    <t>What are the domain models used in the study?</t>
  </si>
  <si>
    <t xml:space="preserve">What modeling language is used in the study? </t>
  </si>
  <si>
    <t>How many models are created and what is the type e.g. data models, requirements models, design models, business process models etc.?</t>
  </si>
  <si>
    <t>What is the automation level of the model transformations in the study?</t>
  </si>
  <si>
    <t>What is the usability of the generated code? Does it need manual effort to work?</t>
  </si>
  <si>
    <t xml:space="preserve">What are the MDE phases considered in this study? </t>
  </si>
  <si>
    <t>How are models converted to code/text?</t>
  </si>
  <si>
    <t>What language(s) is the code and/or text generated in?</t>
  </si>
  <si>
    <t>What is the completeness of the generated solution?</t>
  </si>
  <si>
    <t>What are the artifacts generated by the approach?</t>
  </si>
  <si>
    <t>Does the approach support forward engineering or reverse engineering?</t>
  </si>
  <si>
    <t>What phase(s) of ML development does the study support? Data Acquisition, training, testing, ML model development etc</t>
  </si>
  <si>
    <t>Does the approach consider training data for ML components?</t>
  </si>
  <si>
    <t>What are the ML libraries/frameworks used/supported by the approach? e.g. Tensorflow, Keras, Pandas etc.</t>
  </si>
  <si>
    <t>How does the MDE approach in the study support development of ML systems?</t>
  </si>
  <si>
    <t>Does the study consider responsible AI characteristics? If yes, which ones?</t>
  </si>
  <si>
    <t>What are the human-centric aspects or human values considered in the study?</t>
  </si>
  <si>
    <t>What methods have been used to evaluate the study?</t>
  </si>
  <si>
    <t>What type of examples and/or case studies are used in the study, are they academic or industrial?</t>
  </si>
  <si>
    <t>Are the tools mentioned in the study available?</t>
  </si>
  <si>
    <t>Is data for the tools mentioned in the study available?</t>
  </si>
  <si>
    <t>What are the benchmark datasets used for evaluation?</t>
  </si>
  <si>
    <t>What are the meta-tools and frameworks the tool/approach is built on? E.g. EMF, Eclipse IDE</t>
  </si>
  <si>
    <t>Is the work presented in the study practically usable?</t>
  </si>
  <si>
    <t>What metrics are used for evaluation of ML system?</t>
  </si>
  <si>
    <t>What metrics are used to evaluate the MDE approach?</t>
  </si>
  <si>
    <t>What are the strengths of the study?</t>
  </si>
  <si>
    <t>Is the MDE approach scalable to large systems?</t>
  </si>
  <si>
    <t>What are the limitations of the study discussed in the paper?</t>
  </si>
  <si>
    <t>What are the limitations of the study not mentioned in the paper?</t>
  </si>
  <si>
    <t>What are the research gaps and future challenges/opportunities reported in the study?</t>
  </si>
  <si>
    <t>Is this paper interesting?</t>
  </si>
  <si>
    <t>hira.naveed@monash.edu</t>
  </si>
  <si>
    <t>Motivation: Existing modeling standards in the automotive industry are unable to manage computer vision (CV) tasks in autonomous vehicles at a higher abstraction level. Consequently, system development is currently accomplished through modeling approaches like EAST-ADL while Deep Learning architecture based CV features for autonomous vehicles are implemented in isolation at a lower abstraction level which significantly compromises productivity due to integration challenges.
Goal: Modeling Deep Convolutional Neural networks for Computer Vision tasks in autonmous vehicles at a higher abstraction level while supporting integration with renowned existing standards like EAST-ADL.</t>
  </si>
  <si>
    <t>Modeling Deep Convolutional Neural networks for Computer Vision tasks in autonmous vehicles at a higher abstraction level while supporting integration with renowned existing standards like EAST-ADL.</t>
  </si>
  <si>
    <t>Deep Learning/ Convolutional Neural network</t>
  </si>
  <si>
    <t>embedded system</t>
  </si>
  <si>
    <t>automotive</t>
  </si>
  <si>
    <t>designers of autonomous vehicle perception</t>
  </si>
  <si>
    <t>DSL, framework for modeling and code generator for python and MATLAB, tool</t>
  </si>
  <si>
    <t>design of DNN and data for the DNN - Dataset, CNNModel, Layers, Layer operations, ModelParameters</t>
  </si>
  <si>
    <t>Visually</t>
  </si>
  <si>
    <t>MoDLF model</t>
  </si>
  <si>
    <t>new DSL, MoDLF meta-model provided</t>
  </si>
  <si>
    <t>1 design model for 1 DNN</t>
  </si>
  <si>
    <t>fully automated</t>
  </si>
  <si>
    <t>no manual work required</t>
  </si>
  <si>
    <t>M2M + M2T</t>
  </si>
  <si>
    <t>code generated; Acceleo-based Model-toText (MOFM2T) code generators for python and MATLAB</t>
  </si>
  <si>
    <t>python, MATLAB</t>
  </si>
  <si>
    <t>complete</t>
  </si>
  <si>
    <t>python and MATLAB code</t>
  </si>
  <si>
    <t>Forward Engineering</t>
  </si>
  <si>
    <t>design of DNN with layers, parameters. Dataset split and parameters for training and testing and basic ML model selection</t>
  </si>
  <si>
    <t>Yes, models training data</t>
  </si>
  <si>
    <t>Keras</t>
  </si>
  <si>
    <t>framework and code generator</t>
  </si>
  <si>
    <t>no</t>
  </si>
  <si>
    <t>case studies</t>
  </si>
  <si>
    <t>academic</t>
  </si>
  <si>
    <t>yes</t>
  </si>
  <si>
    <t xml:space="preserve">German Traffic Sign Recognition Benchmark (GTSRB) dataset, open-source US Army Night Vision and Electronic Sensors Directorate (NVESD) dataset </t>
  </si>
  <si>
    <t>Eclipse modeling framework (EMF), Ecore meta model in sirius, Eclipse IDE plugin, Acceleo</t>
  </si>
  <si>
    <t>Yes</t>
  </si>
  <si>
    <t>Accuracy, Range Precision Recall mAP Regression Loss</t>
  </si>
  <si>
    <t>none</t>
  </si>
  <si>
    <t>1) Adaptability: MoDLF is highly flexible as it contains comprehensive concepts for easy integration with existing and future MDA frameworks for deep learning-based tasks as well as with existing model-driven automotive development standards like EAST-ADL/ AUTOSAR. Moreover, it can be further extended/enhanced to include more detailed concepts related to deep architecture design. 2) Tool Support: As part of MoDLF, a Sirius graphical modeling workbench/tool and a custom tree editor, and two code generators (MATLAB®, Python) have been developed. The meta-model and all artifacts have been made publicly available for usage in research and industry and further enhancement. 3) Model/Text Transformation: MoDLF allows both Model-to-Model (M2M) transformation using ATLAS transformation language (ATL) and Text (M2T) transformation using Acceleo for code generation</t>
  </si>
  <si>
    <t>not mentioned in the study</t>
  </si>
  <si>
    <t xml:space="preserve">MoDLF supports basic CNN constructs while constructs for RNNs, LSTM, GNNs, etc., and NLP architectures are not supported. A non-exhaustive set of transformation rules have been written and thus only limited code generation capability on two platforms has been provided for low-code solutions. </t>
  </si>
  <si>
    <t>No industrial evaluation, no usability evaluation with target users, no human factors or responsible AI principles considered.  No mention of the scalability of the study.</t>
  </si>
  <si>
    <t>Further concepts and constructs can be added by extending the metamodel. Furthermore, OCL-based constraints can be added to enrich the meta-model for analysis at design time. Room for detailed transformations exists to achieve complete nocode solutions. Integration with EAST-ADL/AUTOSAR can also be further explored and the generation of hardware code (HDL) through specific transformation for embedded system implementations is also a potential milestone to be achieved. MoDLF can be implemented on platforms like Java, C++, etc. by writing specific transformations.</t>
  </si>
  <si>
    <t>john.grundy@monash.edu</t>
  </si>
  <si>
    <t>MoDLF – A Model-Driven Deep Learning Framework for Autonomous Vehicle Perception (AVP)</t>
  </si>
  <si>
    <t>Aon Safdar†, Farooque Azam†, Muhammad Waseem Anwar*, Usman Akram†,Yawar Rasheed†</t>
  </si>
  <si>
    <t>Modern vehicles are extremely complex embedded systems that integrate software and hardware from a large set of contributors. Modeling standards like EAST-ADL have shown promising results to reduce complexity and expedite system development. However, such standards are unable to cope with the growing demands of the automotive industry. A typical example of this phenomenon is autonomous vehicle perception (AVP) where deep learning architectures (DLA) are required for computer vision (CV) tasks like real-time object recognition and detection. However, existing modeling standards in the automotive industry are unable to manage such CV tasks at a higher abstraction level. Consequently, system development is currently accomplished through modeling approaches like EAST-ADL while DLA-based CV features for AVP are implemented in isolation at a lower abstraction level. This significantly compromises productivity due to integration challenges. In this article, we introduce MoDLF - A Model-Driven Deep learning Framework to design deep convolutional neural network (DCNN) architectures for AVP tasks. Particularly, Model Driven Architecture (MDA) is leveraged to propose a metamodel along with a conformant graphical modeling workbench to model DCNNs for CV tasks in AVP at a higher abstraction level.</t>
  </si>
  <si>
    <t>Model Driven Architecture (MDA) is leveraged to propose a metamodel along with a conformant graphical modeling workbench to model DCNNs for CV tasks in AVP at a higher abstraction level. Furthermore, Model-To-Text (M2T) transformations are provided to generate executable code for MATLAB® and Python. The framework is validated via two case studies on benchmark datasets for key AVP tasks. The results prove that MoDLF effectively enables model-driven architectural exploration of deep convnets for AVP system development while supporting integration with renowned existing standards like EAST-ADL.</t>
  </si>
  <si>
    <t>Computer Vision  using deep learning</t>
  </si>
  <si>
    <t>MATLAB® and Python.</t>
  </si>
  <si>
    <t>Autonomous Vehicle Perception (AVP)</t>
  </si>
  <si>
    <t>Developers of AVP software</t>
  </si>
  <si>
    <t>Framework, code implementation, modelling language - MoDLF – Model-Driven Deep Learning Framework</t>
  </si>
  <si>
    <t>See page 4/5 - DLF, Dataset, CNNModel, Layers, Layer operations, ModelParameters</t>
  </si>
  <si>
    <t xml:space="preserve">MoDLF -MoDLF - A Model-Driven Deep learning Framework </t>
  </si>
  <si>
    <t>Custom - MoDLF DSVL</t>
  </si>
  <si>
    <t>One (I think!)</t>
  </si>
  <si>
    <t>Fully automated</t>
  </si>
  <si>
    <t>no manual effort required</t>
  </si>
  <si>
    <t>Figure 4 - ecore to .py / .m</t>
  </si>
  <si>
    <t>Python</t>
  </si>
  <si>
    <t>Fig 4 - Pyton code, model data, various intermediate models</t>
  </si>
  <si>
    <t>Fig 3 - input, convolution networks, pooling, output  (not sure if other DL components...)</t>
  </si>
  <si>
    <t>python Keras API  - not sure about MATLAB one tho...</t>
  </si>
  <si>
    <t>Visually model then generate Python/MATLAb implementations</t>
  </si>
  <si>
    <t>2 case studies - The Object Recognition Use Case,  The Object Detection/Localization Use Case</t>
  </si>
  <si>
    <t>Appears academic but based on real-world cases</t>
  </si>
  <si>
    <t>Case1 - German Traffic Sign Recognition Benchmark (GTSRB) dataset; Case 2 - subset of the challenging open-source US Army Night Vision and Electronic Sensors Directorate (NVESD) dataset for this purpose</t>
  </si>
  <si>
    <t>EMF, Eclipse, Acceleo</t>
  </si>
  <si>
    <t>Model characteristics - Table 1. Architecture/Results comparison of Classic LeNet-5 and MoDLeNet ; image classification - Figure 6: Comparison of Classic LeNet-5 and MoDLeNet on the GTSRB dataset (left). Inference with MoDLeNet (right); Figure 8: Regression loss on the training set and visual results on T72 tank target using bounding box regression algorithm ;  Table 2. Experiment Results of Bounding-box Regressor designed using MoGE on NVESD ATR dataset</t>
  </si>
  <si>
    <t>Not discussed (that I could find)</t>
  </si>
  <si>
    <t>In summary, MoDLF provides several benefits as follows: 1) Adaptability: MoDLF is highly flexible as it contains comprehensive concepts for easy integration with existing and future MDA frameworks for deep learning-based tasks as well as with existing model-driven automotive development standards like EAST-ADL/ AUTOSAR. Moreover, it can be further extended/enhanced to include more detailed concepts related to deep architecture design. 2) Tool Support: As part of MoDLF, a Sirius graphical modeling workbench/tool and a custom tree editor, and two code generators (MATLAB®, Python) have been developed. The meta-model and all artifacts have been made publicly available [18] for usage in research and industry and further enhancement. 3) Model/Text Transformation: MoDLF allows both Model-to-Model (M2M) transformation using ATLAS transformation language (ATL) and Text (M2T) transformation using Acceleo for code generation.</t>
  </si>
  <si>
    <t>not mentioned in study</t>
  </si>
  <si>
    <t>Currently, MoDLF supports basic CNN constructs while constructs for RNNs, LSTM, GNNs, etc., and NLP architectures are not supported. Further concepts and constructs can be added by extending the metamodel. Furthermore, OCL-based constraints can be added to enrich the meta-model for analysis at design time. In our study, a non-exhaustive set of transformation rules have been written and thus only limited code generation capability on two platforms has been provided for low-code solutions. However, room for detailed transformations exists to achieve complete no- code solutions. Integration with EAST-ADL/AUTOSAR can also be further explored and the generation of hardware code (HDL) through specific transformation for embedded system implementations is also a potential milestone to be achieved.</t>
  </si>
  <si>
    <t>Scalability, usability of approach - no user study of tool I could find</t>
  </si>
  <si>
    <t>None mentioned</t>
  </si>
  <si>
    <t>Goal: To enable data scientists and users with little statistical programming and fairness in machine learning experience to measure and mitigate bias in ML models</t>
  </si>
  <si>
    <t>A model-based approach to facilitate bias measurement and mitigation with reduced software development effort. Automated search for the best bias mitigation methods for given cases at a higher abstraction level. Do not have to code the implementation of the search process in general/statistical programming languages like R, since it can be automatically generated and then fine-tuned later on.</t>
  </si>
  <si>
    <t>Machine learning</t>
  </si>
  <si>
    <t>platform independent</t>
  </si>
  <si>
    <t>ML applications</t>
  </si>
  <si>
    <t xml:space="preserve">users with little statistical programming and fairness in machine learning experience </t>
  </si>
  <si>
    <t>FairML modeling language and code generator , tool</t>
  </si>
  <si>
    <t xml:space="preserve">bias metrics, bias mitigation algorithms, datasets, training methods (classifiers), and their parameters </t>
  </si>
  <si>
    <t>Textually</t>
  </si>
  <si>
    <t>FairML model</t>
  </si>
  <si>
    <t>new DSL, FairML meta-model provided (meta model instance expressed in YAML)</t>
  </si>
  <si>
    <t>1, bias mitigation model</t>
  </si>
  <si>
    <t>Model to Text Transformation</t>
  </si>
  <si>
    <t>code generated; A transformation written in Epsilon Generation Language (EGL) consumes models that conform to the FairML metamodel and produces Python files. The generated Python files are then transformed into Jupyter notebook files using the P2J engine</t>
  </si>
  <si>
    <t>code</t>
  </si>
  <si>
    <t>pre-processing, in processing and post processing</t>
  </si>
  <si>
    <t>not mentioned</t>
  </si>
  <si>
    <t>bias mitigation modelling language, code generator</t>
  </si>
  <si>
    <t xml:space="preserve">Yes, fairness </t>
  </si>
  <si>
    <t>case study</t>
  </si>
  <si>
    <t>adult dataset</t>
  </si>
  <si>
    <t>Flexmi, a reflective textual syntax for EMF Models and IBM AI Fairness360, Epsilon (EGL)</t>
  </si>
  <si>
    <t>accuracy, mean_difference, average_odds_difference</t>
  </si>
  <si>
    <t>conciseness, generation and execution time</t>
  </si>
  <si>
    <t>Using FairML, users can generate bias mitigation code in a concise and declarative manner and generate executable Python code from them. In terms of correctness, the generated code produces similar bias metric values to the ones measured in the original examples.</t>
  </si>
  <si>
    <t xml:space="preserve">no user evaluation to obtain feedback from experienced users in the field. </t>
  </si>
  <si>
    <t>No industrial evaluation, code is only generated for python and jupyter notebook, no human aspects considered. No mention of the scalability of the study.</t>
  </si>
  <si>
    <t>For future work, the number of lines of code generated by FairML can still be further reduced by merging repeatable lines into functions and removing unnecessary code determined by firstly performing static analysis. As a knock-on effect, removing unnecessary code can optimise the execution time of the generated code.</t>
  </si>
  <si>
    <t>Models produced by machine learning are not guaranteed to be free from bias, particularly when trained and tested with data produced in discriminatory environments. The bias can be unethical, mainly when the data contains sensitive attributes, such as sex, race, age, etc. Some approaches have contributed to mitigating such biases by providing bias metrics and mitigation algorithms. The challenge is users have to implement their code in general/statistical pro- gramming languages, which can be demanding for users with little programming and fairness in machine learning experience. We present FairML, a model-based approach to facilitate bias measure- ment and mitigation with reduced software development effort.</t>
  </si>
  <si>
    <t>We present FairML, a model-based approach to facilitate bias measure- ment and mitigation with reduced software development effort. Our evaluation shows that FairML requires fewer lines of code to produce comparable measurement values to the ones produced by the baseline code.</t>
  </si>
  <si>
    <t>we introduce FairML , a tool that implements the MDSE approach to model and automate bias measurement and mitigation in machine learning. ;  appears to be any ML - applies to input dataset to model</t>
  </si>
  <si>
    <t>Unclear - any ML input dataset?</t>
  </si>
  <si>
    <t>developers</t>
  </si>
  <si>
    <t>framework, modelling language, code gen</t>
  </si>
  <si>
    <t>ML model input data fairness metrics, mitigations - see fig 3 for meta-model</t>
  </si>
  <si>
    <t>YAML models</t>
  </si>
  <si>
    <t xml:space="preserve">FairML </t>
  </si>
  <si>
    <t>Based on the model defined in Listing 1, FairML generates a Jupyter notebook file containing the code that performs the bias mitigation, an explanation of the bias measured, and references to the selected classifiers and debiasing algorithms to help users understand the applied bias mitigation and metrics measured. It also contains a table with colour coding that compares the bias metrics measured by different datasets, classifiers, and debiasing algorithms to help users select the best combinations that fit their contexts.</t>
  </si>
  <si>
    <t>Fig 4 - Epsilon M2T and P2J Text to text</t>
  </si>
  <si>
    <t>Python, Java, YAML, Epsilon, P2J - see Fig 4</t>
  </si>
  <si>
    <t>Python &amp; Jupyter notebook</t>
  </si>
  <si>
    <t>data acquisition, data analysis</t>
  </si>
  <si>
    <t>No</t>
  </si>
  <si>
    <t>Doesn't use ML libs - pre-model data analysis</t>
  </si>
  <si>
    <t>pre-model data analysis</t>
  </si>
  <si>
    <t>Fairness</t>
  </si>
  <si>
    <t>see section 4 - We have evaluated the expressiveness, correctness, conciseness, and execution time of FairML</t>
  </si>
  <si>
    <t>Academic</t>
  </si>
  <si>
    <t>IBM AI Fairness 360</t>
  </si>
  <si>
    <t>ecore, epsilon, P2J, python, jupyter notebooks</t>
  </si>
  <si>
    <t xml:space="preserve">For expressiveness evaluation, we aimed to answer this question, “Can FairML support real-world bias mitigation use cases?”. ; We compared the bias metric values measured (measurement values) in the original examples with the values measured in the generated code to evaluate the correctness of FairML’s generated code. Both should produce equal or similar values, within the range of ± 0.1 tolerance. ; For conciseness evaluation, we compared the ratio of the written vs. generated code of FairML vs. Code in the examples ; We also measured the execution time of FairML. First, we mea- sured the generation time – the time that FairML takes to generate the bias detection and mitigation code. </t>
  </si>
  <si>
    <t>Novel analysis of fairness of ML model input models + interactive advisory tool for mitigations</t>
  </si>
  <si>
    <t>Some lessons that we learnt from this work are:
• Bias identification and mitigation are supported by a number of well-understood algorithms that target different types of metrics and biases. Therefore, they can provide a solid foundation for a well-bounded DSL, such as FairML.
• Biasidentificationandmitigationprocessesareeasytogetwrong (e.g., applying algorithms in the wrong orders). Expressing them in a DSL and using model-to-text transformation impose certain structures on the generated code, which is not automatically performed when the code is manually crafted.
• Generating Jupyter notebooks from models directly through model-to-text transformation or a model-to-JSON transformation is technically demanding. Still, we can avoid it by leveraging 3rd party engines such as P2J, which can transform textual Python programs into Jupyter notebooks.</t>
  </si>
  <si>
    <t>Scalability, usability of toolset</t>
  </si>
  <si>
    <t>For future work, the number of lines of code generated by FairML can still be further reduced by merging repeatable lines into func- tions and removing unnecessary code determined by firstly per- forming static analysis. As a knock-on effect, removing unnecessary code can optimise the execution time of the generated code.</t>
  </si>
  <si>
    <t>Motivation: When behavior is learned in a training environment that fails to fully capture real-world phenomena, the response of a ML based component to untrained phenomena is uncertain, and therefore cannot be assured as safe.
Goal: Automated methods are needed for self-assessment and adaptation to decide when learned behaviour of safety-critical systems with ML components can be trusted</t>
  </si>
  <si>
    <t>Seamlessly monitors and manages ML and non-ML based system components,  assesses the trustworthiness of ML based components, and adapts the system to mitigate the use of ML based components in untrusted contexts. Overall, enables stakeholders to have more confidence that the system is used only in contexts comparable to those validated at design time.</t>
  </si>
  <si>
    <t>machine learning</t>
  </si>
  <si>
    <t>cyber physical systems/embedded systems</t>
  </si>
  <si>
    <t>autonomous vehicles</t>
  </si>
  <si>
    <t>designers of autonomous vehicles</t>
  </si>
  <si>
    <t>framework, prototype</t>
  </si>
  <si>
    <t>assurance cases for design time and runtime and goal oriented requirements</t>
  </si>
  <si>
    <t>KAOS goal models</t>
  </si>
  <si>
    <t>Goal Structuring Notation (GSN) for assurance cases and KAOS Goal Modeling for goal-oriented requirements modeling</t>
  </si>
  <si>
    <t>Number of models varies, requirements models</t>
  </si>
  <si>
    <t>partially automated</t>
  </si>
  <si>
    <t>needs manual configuration</t>
  </si>
  <si>
    <t>Model to Model Transformation</t>
  </si>
  <si>
    <t>no code generated</t>
  </si>
  <si>
    <t>partially complete</t>
  </si>
  <si>
    <t>behaviour oracles</t>
  </si>
  <si>
    <t>runtime monitoring and adaptation of systems with ML based components</t>
  </si>
  <si>
    <t>MoDALAS framework</t>
  </si>
  <si>
    <t>yes, trustworthiness</t>
  </si>
  <si>
    <t>case study/prototype</t>
  </si>
  <si>
    <t>no tool mentioned in study</t>
  </si>
  <si>
    <t>N/A</t>
  </si>
  <si>
    <t>recall</t>
  </si>
  <si>
    <t>Enables a self-adaptive system that can detect when its ML based components are operating outside of performance boundaries and adapt accordingly, including possible transitions to fail-safe modes in extreme circumstances. By combining goal models with
behavior oracles for a system, developers can specify requirements concerning the confidence in a ML based component and implement alternative strategies to ensure assurance claims are supported.</t>
  </si>
  <si>
    <t>Manual configuration and mapping for adaptation manager, training data not considered in approach, no industrial evaluation, no usability evaluation, no mention of scalability of approach</t>
  </si>
  <si>
    <t>Future work will explore the inclusion of dynamic assurance cases as well as probabilistic and fuzzy logic evaluations of utility functions to expand the robustness and resilience of a ML based component</t>
  </si>
  <si>
    <t xml:space="preserve">to manage self- adaptation of a Learning-Enabled System (LES) to account for run-time contexts for which the learned behavior of LECs cannot be trusted. </t>
  </si>
  <si>
    <t>The resulting framework enables an LES to monitor and evaluate goal models at run time to determine whether or not LECs can be expected to meet functional objectives. Using this framework enables stakeholders to have more confidence that LECs are used only in contexts comparable to those validated at design time.</t>
  </si>
  <si>
    <t>utility functions (?)</t>
  </si>
  <si>
    <t>Learning- Enabled Components (LECs)</t>
  </si>
  <si>
    <t>self-adaptive systems</t>
  </si>
  <si>
    <t>developers of LECs</t>
  </si>
  <si>
    <t>framework and prototype</t>
  </si>
  <si>
    <t>goals for LECs</t>
  </si>
  <si>
    <t>LEC KAOS goal models</t>
  </si>
  <si>
    <t>KAOS</t>
  </si>
  <si>
    <t>To monitor and assess the trustworthiness of LECs at run time, MoDALAS leverages behavior oracles generated by ENLIL [14] for each individual LEC. Behavior oracles are implemented as DNNs to infer behavior of each LEC when exposed to new forms of environmental uncertainty under simulation. For example, when a rover implements a learning-enabled object detector that has been trained only in clear weather, ENLIL can be used to simulate adverse weather conditions and model the capability of the object detector under a variety of adverse conditions. The resulting behavior oracle can then predict different behavior categories for the object detector when presented with sensor data under various weather conditions.</t>
  </si>
  <si>
    <t xml:space="preserve">Unsure - KOAS -&gt; XML </t>
  </si>
  <si>
    <t>XML, "behaviour oracles"</t>
  </si>
  <si>
    <t>Unclear</t>
  </si>
  <si>
    <t>generates models @ runtime solution from KOAS goal models</t>
  </si>
  <si>
    <t>academic - rover case study example on construction site</t>
  </si>
  <si>
    <t>Unclear if any used</t>
  </si>
  <si>
    <t>couldn't tell</t>
  </si>
  <si>
    <t>Cant say</t>
  </si>
  <si>
    <t>Appears to be image classification but unclear how evaluated in case study</t>
  </si>
  <si>
    <t>Interesting domain - assurance of cyber- physical LESs via models at run time
Appears to generate code to use models@runtime classification
Generates from KOAS models</t>
  </si>
  <si>
    <t>None are discussed (that I could find)</t>
  </si>
  <si>
    <t xml:space="preserve">Unclear range of ML models supports
Unclear scalability
</t>
  </si>
  <si>
    <t xml:space="preserve">None mentioned
</t>
  </si>
  <si>
    <t>Average</t>
  </si>
  <si>
    <t xml:space="preserve">Motivation: Deep learning libraries provide vast APIs because of the multitude of supported input data types, pre-processing operations, and neural network types and configuration options. However, developers working on one concrete application typically use only a small subset of the API at any one given time. Newcomers hence have to read through tutorials and API documentation, gathering scattered information, trying to find the API that fits their needs. This is time consuming and error prone. 
Goal: modularization of the popular Java DL framework Deeplearning4j (DL4J) API according to features. </t>
  </si>
  <si>
    <t>Beginner developers can interactively select desired high level features, and our approach generates the subset of the Java Deep learning library API that corresponds to the selected features.</t>
  </si>
  <si>
    <t>Deep learning</t>
  </si>
  <si>
    <t>deep learning applications</t>
  </si>
  <si>
    <t>non-ML/DL experts</t>
  </si>
  <si>
    <t>interactive feature model, API code generator</t>
  </si>
  <si>
    <t>deep learning library features (in feature model), API elements (i.e., classes, methods, and constructors) related to a feature (in the class diagrams), feature interactions</t>
  </si>
  <si>
    <t>feature model, UML models</t>
  </si>
  <si>
    <t>Feature modeling, UML</t>
  </si>
  <si>
    <t>1 interactive feature model, Number of models varies, class diagrams, 7 conflict resolution models</t>
  </si>
  <si>
    <t>code generated; model to text transformer</t>
  </si>
  <si>
    <t>Java</t>
  </si>
  <si>
    <t>class diagrams, API</t>
  </si>
  <si>
    <t>complete ML pipeline from loading the data, to data operations, to specifying the network and then operating it.</t>
  </si>
  <si>
    <t>Deep Learning for Java (DL4J)</t>
  </si>
  <si>
    <t>feature modeling, model to  model transformation and API generator</t>
  </si>
  <si>
    <t>experiments</t>
  </si>
  <si>
    <t>yes, but developed by others</t>
  </si>
  <si>
    <t>recall, precision, confusion matrix,</t>
  </si>
  <si>
    <t>correctness, performance,</t>
  </si>
  <si>
    <t>The approach effectively shrinks the API candidate elements that the developer needs to consider to use significantly. This reduces the complexity, and hence can result in considerable time savings and prevent confusion, especially for newcomers to ML. The concernified API considers the entire ML pipeline, and deals with feature interactions transparently. Achieves 98.9% recall for API classes and 98.0% recall for API methods and constructors. The precision is 19.3% and 13.8% for classes and methods respectively</t>
  </si>
  <si>
    <t>If our concernified API incorrectly omits an API element in the realization model for a given feature selection, the concern user will not see that API element in the generated API. If there is no alternative API that achieves the desired functionality in the generated API, then the user will most likely spend an excessive amount of time looking for it, and the resulting confusion can be considerable. And in the end, the user would have to fall back to the original API. Approach contains a limited set of features for building a simple but complete ML pipeline. Currently the feature model has been built with the assumption that the users want to build an application with a complete ML pipeline.</t>
  </si>
  <si>
    <t>Approach is not generic, high dependency on TouchCORE tool, no industrial evaluation, no user study, no human aspects considered, no mention of scalability</t>
  </si>
  <si>
    <t>The current concernified API could be extended to include more features and as a result could apply to a broader scope. Can also update feature model to not include entire ML pipeline.</t>
  </si>
  <si>
    <t xml:space="preserve">The design of intelligent cyber-physical system (CPS) is a complex process which requires appropriate tools, languages, and frameworks. </t>
  </si>
  <si>
    <t>reduced complexity and automation through a model-driven and component-oriented approach for the design and generation of reinforcement learning models and their integration into larger systems.</t>
  </si>
  <si>
    <t>deep reinforcement learning</t>
  </si>
  <si>
    <t>cyber physical systems</t>
  </si>
  <si>
    <t>autonomous cyber physical systems</t>
  </si>
  <si>
    <t>Reinforcement learning system designer who does not require a profound understanding of the used algorithms</t>
  </si>
  <si>
    <t>extension of EMADL and MontiAnna domain specific languages for reinforcement learning methods, domain specific modeling framework, code generator</t>
  </si>
  <si>
    <t>neural network structure design with neuron layers, and a training description capturing the hyperparameters (the number of training episodes, batch size, loss function, etc)</t>
  </si>
  <si>
    <t>MontiAnna models</t>
  </si>
  <si>
    <t>deep learning domain-specific language (DSL) family MontiAnna extended with RL concepts</t>
  </si>
  <si>
    <t>2, neural network structure design model and training model</t>
  </si>
  <si>
    <t>code generated; EMADL code generator</t>
  </si>
  <si>
    <t>C++</t>
  </si>
  <si>
    <t xml:space="preserve">fully functional solution including the training and final deliverable code </t>
  </si>
  <si>
    <t>model training, neural network design</t>
  </si>
  <si>
    <t>MXNet Gluon, Tensorflow</t>
  </si>
  <si>
    <t>domain specific modeling framework and code generator</t>
  </si>
  <si>
    <t>no evaluation</t>
  </si>
  <si>
    <t>MontiAnna framework</t>
  </si>
  <si>
    <t xml:space="preserve">Independent of the underlying technology or programming language. Independent of a concrete implementation, the user declares how (s)he wants his/her RL component to be trained using a training DSL. The trained model can then be embedded as a standard component into any C&amp;C architecture. The language extension is used for training and inference of an RL component as a black box. </t>
  </si>
  <si>
    <t>No evaluation, only supports 3 Deep reinforcement learning algorithms DDPG,DQN and Twin Delayed DDPG, no human factors or responsible AI principles considered.  No mention of the scalability of the study.</t>
  </si>
  <si>
    <t>hourieh.khalajzadeh@monash.edu</t>
  </si>
  <si>
    <t>MODELS 2019. Workshop MDE Intelligence</t>
  </si>
  <si>
    <t>The design of intelligent cyber-physical system is complex and needs appropriate tools languages and frameworks. MDE is used in such approaches. ML provides a lot of benefits and the paper wants to examine the use of reinforcement learning.</t>
  </si>
  <si>
    <t>MontiAnna is used in cyber physical system for modelling CNNs and recurrent neural networks (RNNs) with supervised learning in mind. In this work they investigate the suitability of the framework for the design of reinforcement learning systems. Also, their model is independent of the programming language.</t>
  </si>
  <si>
    <t>Deep Reinforcement Learning</t>
  </si>
  <si>
    <t>Cyber-Physical Systems</t>
  </si>
  <si>
    <t>design of autonomous cyber- physical systems such as self-driving cars</t>
  </si>
  <si>
    <t>Modellers</t>
  </si>
  <si>
    <t>An extension of EMADL and MontiAnna domain specific languages for reinforcement learning methods</t>
  </si>
  <si>
    <t>Training of the RL model</t>
  </si>
  <si>
    <t>Not sure, extended EMADL and MontiAnna DSL family</t>
  </si>
  <si>
    <t>EMADL and MontiAnna DSL family</t>
  </si>
  <si>
    <t>Not clear</t>
  </si>
  <si>
    <t xml:space="preserve">We extended the EMADL code generator to be able to gen- erate and train a fully functional RL system from an EMADL model including a MontiAnna neural network description and a corresponding RL training model. </t>
  </si>
  <si>
    <t>Code</t>
  </si>
  <si>
    <t>Training</t>
  </si>
  <si>
    <t xml:space="preserve">The trainer is generated as Python code using the deep learning library MXNet Gluon. </t>
  </si>
  <si>
    <t>training and inference of an RL component as a black box. The hyperparameters are set in a declarative way.</t>
  </si>
  <si>
    <t>No evaluation, just a complete modeling example of a self- driving racing car was used to illustrate the concepts.</t>
  </si>
  <si>
    <t>complete modeling example of a self- driving racing car / academic</t>
  </si>
  <si>
    <t>Modelling reinforcement learning method, generating full C++ code</t>
  </si>
  <si>
    <t>Method not being evaluated</t>
  </si>
  <si>
    <t>Not mentioned</t>
  </si>
  <si>
    <t>Motivation: Once a machine learning (ML) model is produced and used for commercial purposes, it is desirable to continuously monitor it for any potential performance degradation. Domain experts in the area of ML, commonly lack the required expertise in the area of software engineering, needed to implement a robust and scalable monitoring solution.
Goal: An approach for detecting and responding to events that can affect a ML model’s performance</t>
  </si>
  <si>
    <t>Allows ML experts to schedule the execution of drift detecting algorithms on a computing cluster and receive email notifications of the outcome without requiring extensive software engineering knowledge.</t>
  </si>
  <si>
    <t>supervised learning</t>
  </si>
  <si>
    <t>Web (with Kubernetes)</t>
  </si>
  <si>
    <t>ML experts</t>
  </si>
  <si>
    <t>DSL for monitoring ML systems , model to text transformation</t>
  </si>
  <si>
    <t>behavior of ML monitoring system including the ML model to monitor, ML framework, data and concept drift detection algorithm, Input features of ML model and output</t>
  </si>
  <si>
    <t>ML behavior monitoring model</t>
  </si>
  <si>
    <t>new DSL, meta model provided</t>
  </si>
  <si>
    <t xml:space="preserve">1, behavior model </t>
  </si>
  <si>
    <t>No code generated</t>
  </si>
  <si>
    <t>text generated - YAML file; When the user submits the form, the speciﬁed MDE model is serialized in Flexmi format and sent to the application’s back-end. In the back-end, the received MDE model is used as input for model-to-text (M2T) transformation using EGL(epsilon generation language)</t>
  </si>
  <si>
    <t>YAML</t>
  </si>
  <si>
    <t>behaviour model of a ML monitoring system, Kubernetes manifest (a YAML file that describes each component or resource of your deployment and the state you want your cluster to be in once applied)</t>
  </si>
  <si>
    <t>ML system deployment, monitoring</t>
  </si>
  <si>
    <t>tensorflow, pytorch mentioned</t>
  </si>
  <si>
    <t>DSL, M2T transformation</t>
  </si>
  <si>
    <t>Flexmi, a reflective textual syntax for EMF Models, Eclipse</t>
  </si>
  <si>
    <t>The approach can lower the technical barriers that ML experts face when designing ML monitoring systems is explored. A proposed solution is shown that allows ML experts to define the intended behaviour of certain ML monitoring systems without having to provide their technical implementation. IT has a web interface which makes it easy to implement the setting</t>
  </si>
  <si>
    <t xml:space="preserve">The scheduling of drift detection executions does not cover complex scenarios much. </t>
  </si>
  <si>
    <t>No evaluation, only supports deployments with Kubernetes, no human factors or responsible AI principles considered.  No mention of the scalability of the study.</t>
  </si>
  <si>
    <t>The scheduling of drift detection executions needs to cover more complex scenarios. For example, in addition to executing periodically, one might want to define additional constraints, such as minimum amount of samples received between executions.
• There is a need for an abstraction that is expressive enough to describe any kind of drift detection algorithm. That would remove the need for making distinctions between drift types in the meta-model layer.
• The list of actions that can be taken in response to drift needs to be expanded. Also, it would be beneficial to provide a mechanism for describing complex scenarios
in which a combinations of actions are prescribed when certain conditions are met.
• The ability to incrementally update a deployed ML monitoring system would be beneficial. This would allow domain experts to modify parts of their system without redeploying it in its entirety.</t>
  </si>
  <si>
    <t>ACM/IEEE International Conference on Model Driven Engineering Languages and Systems Companion (MODELS-C)</t>
  </si>
  <si>
    <t>To help ML experts to monitor ML models after they are produced and used, without the need to have SE background</t>
  </si>
  <si>
    <t>ML experts can monitor their ML models without having SE skills</t>
  </si>
  <si>
    <t>Machine Learning - supervised learning</t>
  </si>
  <si>
    <t>ML monitoring</t>
  </si>
  <si>
    <t>A meta-model for ML monitoring</t>
  </si>
  <si>
    <t>Monitoring components</t>
  </si>
  <si>
    <t>DSL - not mentioned</t>
  </si>
  <si>
    <t>Partially automated</t>
  </si>
  <si>
    <t>needs manual configurations</t>
  </si>
  <si>
    <t>Using Epsilon’s EGL</t>
  </si>
  <si>
    <t>Kubernetes manifest which contains a declarative description of the resources that need to be provisioned and the containerized applications that need to be executed on a cluster</t>
  </si>
  <si>
    <t>Kubernetes manifests</t>
  </si>
  <si>
    <t>Tensorflow is mentioned as an example</t>
  </si>
  <si>
    <t>It designs a domain-specific language (DSL), that can express as many ML monitoring methodologies as possible while being minimally bound to the technical implementation of the underlying system.</t>
  </si>
  <si>
    <t>No evaluation</t>
  </si>
  <si>
    <t>No examples / academic</t>
  </si>
  <si>
    <t>No benchmark dataset</t>
  </si>
  <si>
    <t>Epsilon’s EGL</t>
  </si>
  <si>
    <t>Simplifies the process of ML monitoring for ML experts who don't have SE background. IT has a web interface which makes it easy to implement the setting</t>
  </si>
  <si>
    <t>The scheduling of drift detection executions needs to cover more complex scenarios. There is a need for an abstraction that is expressive enough to describe any kind of drift detection algorithm. The list of actions that can be taken in response to drift needs to be expanded. The ability to incrementally update a deployed ML monitoring system would be beneficial.</t>
  </si>
  <si>
    <t>No evaluation. Just looks into ML monitoring, not training.</t>
  </si>
  <si>
    <t>Add the improvements listed in the limitations. Evaluate in two different bases: investigate whether the solution is general enough, and empirical evaluation</t>
  </si>
  <si>
    <t xml:space="preserve"> International Conference on Intelligent Data Science Technologies and Applications (IDSTA)</t>
  </si>
  <si>
    <t>Motivation: a foundation step for the use of Model-Driven Engineering (MDE) based approach to machine learning using neural networks. 
Goal: to reap the same benefits which MDE brings to solving software engineering problems. New meta-models  for developing machine learning solutions using the MDE paradigm</t>
  </si>
  <si>
    <t>Higher tool interoperability and standardization, in addition to helping users to develop solutions with less dependence on a particular set of tools and technologies.</t>
  </si>
  <si>
    <t>neural networks</t>
  </si>
  <si>
    <t>neural network designers</t>
  </si>
  <si>
    <t>framework, new DSL, model transformation and code generation, tool</t>
  </si>
  <si>
    <t>machine learning problem, dataset, training, neural network, neurons, layers, connections</t>
  </si>
  <si>
    <t>neural network design model</t>
  </si>
  <si>
    <t>new DSL, meta models provided</t>
  </si>
  <si>
    <t>2, neural network design and learning problem design</t>
  </si>
  <si>
    <t>uses EGL which is a template-based code generator language which simplifies the generation of code from models</t>
  </si>
  <si>
    <t>Java, PMML file</t>
  </si>
  <si>
    <t>learning problem model, machine learning problem model, code, model transformed to PMML language</t>
  </si>
  <si>
    <t>ML model development, training, deployment</t>
  </si>
  <si>
    <t>Neuroph; Java neural network framework</t>
  </si>
  <si>
    <t>framework, new DSL, model transformation and code generation</t>
  </si>
  <si>
    <t>bias</t>
  </si>
  <si>
    <t>Pima Indians Diabetes dataset, Iris flower dataset</t>
  </si>
  <si>
    <t>EMF, Ecore, Neuroph (Java neural network framework),  Epsilon Validation Language (EVL) to validate models</t>
  </si>
  <si>
    <t>confusion matrix, correct predictions, incorrect predictions, accuracy</t>
  </si>
  <si>
    <t>Proposed framework achieves higher accuracy in both experiments compared to Weka. The framework supports including model validation, model transformation, and code generation can be integrated with machine learning model interchange languages, including PMML.</t>
  </si>
  <si>
    <t>No loss index modeled, Evaluation is entirely based on the confusion matrix and accuracy metric, comparing proposed approach with one other framework; Weka. No justification for comparison with Weka. No usability evaluation, no industrial evaluation,</t>
  </si>
  <si>
    <t>As future lines of work, we consider to develop metamodels for a wider variety of NNs. Several types of NNs are already supported by Neuroph. In addition, we consider to support code generation to other languages, including Python and R. This extension can build on the main elements of the framework as presented in this paper. Finally, a highlevel domain-specific modeling language can be developed which exploits the meta-models presented in this paper. We envision that this language can be used by machine learning and data science practitioners throughout the life cycle of solution development to machine learning problems using neural networks</t>
  </si>
  <si>
    <t xml:space="preserve">Motivation: the deep learning discipline imposes a completely new problem solving paradigm requiring a rethinking of classical software development methods. The high demand for deep learning technology has led to a large amount of competing frameworks mostly having a Python interface. Although, existing tools often provide great flexibility and high performance, they still lack to deliver a completely domain oriented problem view. Furthermore, using neural networks as reusable building blocks with clear interfaces in productive systems is still a challenge
Goal: to be able to use neural networks as modules in well-established design methodologies and to seamlessly integrate them with classical software components. </t>
  </si>
  <si>
    <t>a domain specific modeling methodology tackling design, training, and integration of deep neural networks. The methodology is integrated in a component-based modeling toolchain allowing one to employ and reuse neural networks in large software architectures.</t>
  </si>
  <si>
    <t>deep learning</t>
  </si>
  <si>
    <t>embedded systems</t>
  </si>
  <si>
    <t>automotive, robotics, cyber physical systems</t>
  </si>
  <si>
    <t>deep learning engineers</t>
  </si>
  <si>
    <t>a platform independent declarative artificial neural network modeling framework, C++ code generator, tool</t>
  </si>
  <si>
    <t>neural network architecture, training and dataset</t>
  </si>
  <si>
    <t>deep learning design model</t>
  </si>
  <si>
    <t>deep learning domain-specific language (DSL) family  MontiAnna</t>
  </si>
  <si>
    <t>3, neural network design, training and dataset model</t>
  </si>
  <si>
    <t>Using MontiAnna generator toolchain, neural network creator and trainer in python, neural network API in C++</t>
  </si>
  <si>
    <t>Python, C++</t>
  </si>
  <si>
    <t>Network Creator, Network Trainer, Network API</t>
  </si>
  <si>
    <t>ML model design (neural network architecture), model training</t>
  </si>
  <si>
    <t>MXNet Symbol API, Gluon, TensorFlow and Caffe2</t>
  </si>
  <si>
    <t>a platform independent declarative artificial neural network modeling framework, C++ code generator</t>
  </si>
  <si>
    <t>EmbeddedMontiArc Studio</t>
  </si>
  <si>
    <t>a deep learning modeling language family focusing on the main domain concepts while providing means for modularity and extensibility. The solution covers a variety of architectural neural network styles and provides a C++ generator supporting multiple deep learning backends. Furthermore, the framework is embedded into a C&amp;C architecture description language allowing software architects to seamlessly integrate deep learning technology into large systems.</t>
  </si>
  <si>
    <t>No evaluation, MontiAnna meta-model not included, no explanation of code generation, no human factors or responsible AI principles considered.  No mention of the scalability of the study.</t>
  </si>
  <si>
    <t>Ongoing and future work includes the development of further backend code generators to support more platforms, the steady addition of latest developments, but also the integration of analysis tools. The latter must provide backend-independent quality assessment mechanisms for the experimentation phase.</t>
  </si>
  <si>
    <t>chetan.arora@monash.edu</t>
  </si>
  <si>
    <t>MODELS'2019</t>
  </si>
  <si>
    <t>To propose a holistic deep learning modeling framework called MontiAnna, tackling design, training, and integration of deep neural networks.</t>
  </si>
  <si>
    <t>Distinguish between three main modeling concerns: architecture, training, and data</t>
  </si>
  <si>
    <t>Deep Learning</t>
  </si>
  <si>
    <t>Robotics, Automotive and CPS</t>
  </si>
  <si>
    <t>Robotics Experts</t>
  </si>
  <si>
    <t>platform independent modeling framework</t>
  </si>
  <si>
    <t xml:space="preserve">DL Architecture, Training Model and </t>
  </si>
  <si>
    <t>Architecture and Training Models</t>
  </si>
  <si>
    <t xml:space="preserve">EmbeddedMontiArc compiler </t>
  </si>
  <si>
    <t>Models + General Purpose Code</t>
  </si>
  <si>
    <t>Training and Model development</t>
  </si>
  <si>
    <t>Yes, generates code for training/ dataset loading</t>
  </si>
  <si>
    <t>A lot of them</t>
  </si>
  <si>
    <t>High-level details of the architecture</t>
  </si>
  <si>
    <t>CNNs and RNNs</t>
  </si>
  <si>
    <t>No evaluation in this paper but other papers cover some eval</t>
  </si>
  <si>
    <t>Example in this paper</t>
  </si>
  <si>
    <t>MNIST- Calculator</t>
  </si>
  <si>
    <t>EmbeddedMontiArc</t>
  </si>
  <si>
    <t>None in this paper</t>
  </si>
  <si>
    <t>The high-level modeling language and embedded in an existing framework</t>
  </si>
  <si>
    <t>Motivation: Software engineering of network-centric ML and Internet of Things (IoT) enabled CyberPhysical Systems (CPS) and services, involves complex design and validation challenges. No matter how professional and skilled a software developer or system engineer is, they can neither master the entire technology spectrum and cross-domain functions of a complex IoT system nor can they efficiently communicate and collaborate with other experts working on the same project.
Goal: abstraction and automation to deal with the above-mentioned complexity and the delegation of data analytics and ML to the IoT edge devices that might be highly constrained in terms of their power and computational resources</t>
  </si>
  <si>
    <t xml:space="preserve">To increase the service quality of ML, for example, its availability and performance, regardless of the network conditions, as well as maintaining the privacy, security and sustainability. </t>
  </si>
  <si>
    <t>IoT, Cyber physical systems</t>
  </si>
  <si>
    <t>IoT</t>
  </si>
  <si>
    <t>software developers, system engineers</t>
  </si>
  <si>
    <t>MDSE approach, code generator for hetrogeneous IoT platforms</t>
  </si>
  <si>
    <t xml:space="preserve">structural architecture of IoT service, behavior of IoT sensor, thing, data analytics model, data analytics algorithm, actions such as preprocessing, training, prediction  </t>
  </si>
  <si>
    <t>ML-Quadrant model, UML models</t>
  </si>
  <si>
    <t>ML-Quadrant, UML</t>
  </si>
  <si>
    <t>component diagram (architecture), state machine diagram (behavior),  ML model design</t>
  </si>
  <si>
    <t>With annotations and configurations added on the PIM,  code generator converts PSM to code. extended the model-to-code transformations, i.e., the code generators of ML-Quadrat</t>
  </si>
  <si>
    <t>Python, C</t>
  </si>
  <si>
    <t>PSM models, generated code, ML models in proper formats that are acceptable by the ML libraries.</t>
  </si>
  <si>
    <t>TensorFlow Lite and the TensorFlow Lite for microcontrollers, Keras</t>
  </si>
  <si>
    <t>open sensor data from a hydraulic test rig deployed in Saarbrucken, Germany</t>
  </si>
  <si>
    <t>Eclipse Modeling Framework (EMF) and Xtext framework</t>
  </si>
  <si>
    <t>accuracy, precision, recall, training time</t>
  </si>
  <si>
    <t>enables TinyML in the domain-specific MDSE of smart IoT services. It provides the PIM and the PSM layers for the software models of smart IoT services. The approach supports the development of smart IoT services that can be deployed on a wide variety of distributed platforms, including the highly resource-constrained, ultra low-power microcontrollers. We
enabled TinyML, thus supported the deployment of compact ML models on the said microcontrollers.</t>
  </si>
  <si>
    <t>did not handle any imputation of missing values since the provided dataset did not contain any. We assume that the data have already been cleaned before being released publicly.</t>
  </si>
  <si>
    <t xml:space="preserve">Code generator extension not explained, no usability study, No industrial evaluation, no human aspects considered. </t>
  </si>
  <si>
    <t>future research work is required to assess and validate the proposed approach for multiple other scenarios and cases. In addition, we used the open data of a hydraulic test rig for
the validation. Furthermore, future work can extend the proposed approach to enable federated learning by embedded platforms and TinyML devices such that an ML model can be built collaboratively without sharing raw data between the devices. In contrast, in the present work, we trained the ML model on one platform (x86 Linux) and deployed it on three different platforms, including a TinyML platform.</t>
  </si>
  <si>
    <t>Motivation: Datasets play a central role in the training and evaluation of machine learning (ML) models. But they are also the root cause of many undesired model behaviors, such as biased predictions. To address this issue, the machine learning community is proposing a data-centric cultural shift, where data issues are given the attention they deserve and more standard practices for gathering and describing datasets are discussed and established. So far, these proposals are mostly high-level guidelines described in natural language and, as such, they are difficult to formalize and apply to particular datasets.
Goal: To overcome this situation,  a domain-specific language (DSL) to precisely describe datasets according to the dimensions demanded by the aforementioned proposals.</t>
  </si>
  <si>
    <t>Our approach enables the standardization of dataset description, providing a structured format, users can precisely describe machine learning datasets in terms of their structure, data provenance, and social concerns. 
Moreover, once the dataset is modeled using our DSL, it can then be manipulated with any of the existing model-driven engineering tools and techniques, such as model management [12] and model transformation [13] tools, opening the door to a number of (semi)automated application scenarios. To mention a few of them, we could: (i) check the quality and completeness of existing datasets – e.g., the quality of their labeling processes – ; (ii) compare datasets targeting the same domain to highlight their differences – e.g., comparing the infrastructure used to obtain the data –; (iii) search the most suitable dataset based on the requirements of the ML projects – e.g., searching for a dataset compliant with specific social concerns, such as specific demographic – starting what, in the future, could become a dataset marketplace; (iv) generate other artifacts – documentation, code, etc. – from the dataset description; or (v)
facilitate the replication of ML research results by better mimicking the conditions of the datasets used in the experiment when the same ones are unavailable — e.g., medical experiments where data has privacy concerns.
Plugin enables users to import and annotate existing datasets while supporting all standard modern language features, such as autocompletion, syntax highlights, and code snippets, to name a few.</t>
  </si>
  <si>
    <t>desktop</t>
  </si>
  <si>
    <t>ML engineers</t>
  </si>
  <si>
    <t>DSL for describing datasets, document generator, tool (plugin)</t>
  </si>
  <si>
    <t>The main class DatasetDescription is composed of 4 classes; Metadata, Composition/DataInstance, Provenance and SocialConcerns. 
In the Metadata part, we have general information about the dataset.  Metadata has attributes such as uniqueId, title, or the specific version number, to name a few. Additionally, Metadata is
related to a Description, a set of Applications for the dataset, a Distribution setting the legal and licensing terms of a dataset, and finally to the Authoring part.
In the Composition part, users can express aspects concerning the data structure, statistical description values, quality metrics, and the consistency rules that the dataset satisfies. This part is mostly inspired by the Dataset Nutrition Label and the Data Readiness Report proposals. With the Composition modeling constructs, creators can define a set of data instances4 and the Attributes composing these instances. At DataInstance level, creators can provide a general description of each instance, defining the size of the instance and its general type structure, such as record, time-series, or linked data. Besides, creators can use InstanceStatistics to express statistical information either by defining pairCorrelations between two attributes – or between one attribute and an external source of truth, such as national statistical records – or by expressing relevant quality metrics, such as class–category–balance, noisy labels, outliers, etc.
In the Provenance and Social Concerns part, we focus on the datasets gathering and labeling processes, the applied data preprocess, and the potential social impact of the data. From the Data Statements [7] and Crowdworksheet [19] proposals, we have included several aspects relevant to the gathering and labeling process, such as the demographics of the process and the teams, the validation mechanism of the annotation process or the requirements of both. From the HF dataset cards [9] and GEM benchmark [10], we have included the DataPreprocess part, and finally, from Datasheets for Datasets [8] proposal, we have taken the description of the social aspects.</t>
  </si>
  <si>
    <t>dataset description model</t>
  </si>
  <si>
    <t>new DSL, DescribeML; meta model provided</t>
  </si>
  <si>
    <t>1, dataset description model</t>
  </si>
  <si>
    <t>document generator</t>
  </si>
  <si>
    <t>HTML</t>
  </si>
  <si>
    <t>HTML data description documentation</t>
  </si>
  <si>
    <t>dataset description/ dataset modeling</t>
  </si>
  <si>
    <t>Yes, models training data and generates description of dataset</t>
  </si>
  <si>
    <t>DSL for describing datasets, document generator supports automatic generation of ML dataset descriptions from models</t>
  </si>
  <si>
    <t>yes, social concerns related to data like bias, privacy, social impact etc.</t>
  </si>
  <si>
    <t>case study and usability study with 17 participants through writing exercise and semi structured interviews</t>
  </si>
  <si>
    <t>The Gender Inclusive Coreference dataset, Movie Reviews Polarity dataset, SIIM-ISIC Melanoma Classification dataset</t>
  </si>
  <si>
    <t xml:space="preserve"> Langium language workbench to create a plugin for Visual Studio Code</t>
  </si>
  <si>
    <t>expressiveness of dataset through DSL model, usability, usefulness, ease of dataset readability</t>
  </si>
  <si>
    <t>a DSL for describing datasets for machine learning together with a Visual Studio Code plugin to assist practitioners during the dataset description process. We have assessed the expressiveness of our approach by performing a case study against the documentation of state-of-the-art works presented in Section 2. In addition, we performed an empirical experiment to validate the usability of our DSL from a data consumer and data creator perspectives. We believe our DSL is a step forward towards the standardization of dataset descriptions and its future impact in achieving higher quality ML models, especially from a social perspective (fairness, diversity, absence of bias, etc.).</t>
  </si>
  <si>
    <t>some mentioned with future work</t>
  </si>
  <si>
    <t>However, we have identified as future work a set of challenges that the research community should face before completely achieving these goals. Some of the identified challenges are: 
Uncertainty in datasets descriptions. Dataset authors may not always be completely sure about some aspects of the dataset — e.g., the provenance, the quality of some attributes, or the confidence in specific labels. We envision the need to express uncertainties in dataset description models – see Muñoz et al. [64] for instance – to enable the annotation of our DSL elements with uncertain values and expressions. 
Expressing commercial usage and distribution aspects. Not all datasets need to be free. Indeed, data collection and curation are time-intensive tasks. Therefore, beyond licensing information [17], we envision additional DSL primitives to express more complex usage rights based on a variety of business models — e.g., royalties derived from the applications of the ML models trained with the dataset. 
Describing ML models. Beyond datasets, there is also interest in the community to describe ML models and other elements of an ML pipeline. Describing models and the different steps of the ML pipeline will help us analyze potential root causes of undesired behaviors from an end-to-end point of view of the ML applications. As such, we envision the extension of our DSL to cover as well the dimensions proposed by existing model documentation proposals embracing the complete ML lifecycle, such as Mitchell et al. [65,66] or FactSheets from Sokol et al. [67]. 
Dataset reverse engineering. Relevant datasets in the field are starting to be published along with accompanying documentation. This documentation, however, is in the form of natural text, and is contained in technical reports, or scientific papers published alongside the data. In that regard, there is room to investigate NLP techniques to leverage such documentation to extract from the text some of the dimensions of the DSL and used them to pre-populate the dataset description file.</t>
  </si>
  <si>
    <t xml:space="preserve">Motivation: Although there is a variety of machine learning frameworks on the market, there is little support for process automation and DevOps in machine learning-driven projects. 
Goal: Support software architects and developers to cope with the abundance of available algorithms and variants thereof, the integration of machine learning components into large systems, as well as their continuous evolution. The unification of a broad range of deep learning algorithms in a single powerful, yet maintainable generative framework for applied machine learning with a slim, user-friendly application programming interface (API). </t>
  </si>
  <si>
    <t xml:space="preserve">A deep learning-oriented artifact model which serves as a foundation for build automation and data management in iterative, machine learning-driven development processes. Furthermore, we show how schema and reference models can be used to structure and maintain a versatile deep learning framework. </t>
  </si>
  <si>
    <t>machine learning + deep learning</t>
  </si>
  <si>
    <t>embedded systems, IoT</t>
  </si>
  <si>
    <t>decision making systems e.g. automotive, natural language processing systems, image processing systems</t>
  </si>
  <si>
    <t xml:space="preserve">software architects and developers </t>
  </si>
  <si>
    <t>machine learning artifact model, reference modeling approach to deep learning framework design, schema and reference model-backed training pipeline configuration language, Maven plugin based on the artifact model, code generator</t>
  </si>
  <si>
    <t>In the ML artifact model the following artifacts are modeled; SAR : The software archive contains the final, usable software including compiled files as well as fully trained machine learning models. Thereby, it has a similar purpose as the standard executable Java Archive (JAR).  
SCAR : The source code archive contains the plain source code including both standard as well as machine learning components. However, there are no trained parameters for the machine learning models. This archive type is similar to a sources JAR and is useful as documentation or as a basis for experimentation and further development. For interpreted languages like Python, the only difference between the source code archive and the software archive is the absence of the trained models in the former.  
DAR : The dataset archive contains training data to be used in training by machine learning modules. The contained data can be organized as training, test, and, evaluation data. Dataset archives facilitate the reuse and evolution of training data.  
PAR : The pretrained model archive contains a trained machine learning model consisting ofthe learned parameters, e.g., a neuron network’s weights as well as further information needed to use the parameters, e.g., a neural network’s structure.  
TEAR : The training environment archive unifies the source code archive and the dataset archive into a single container. Such an archive can be used out-of-the-box to train or extend a machine learning system without having to depend on an external dataset archive.  
Schema models; enabling us to define sets of hyperparameters for the different pipelines along with their respective types. Second, we use reference models; capturing the basic architectures of each training pipeline using the dataflow-centric component and-connector (C&amp;C) paradigm. The reference models implicitly define further configuration parameters required by the respective pipelines. Training reference models capturing the required components, types, and dataflows explicitly</t>
  </si>
  <si>
    <t xml:space="preserve">While EMADL uses MontiMath to describe the behavior of atomic components, MontiThings uses C++. For machine learning, EMADL and MTDL use MontiAnna components. </t>
  </si>
  <si>
    <t>3, Machine learning oriented artifact model, training schema model, training reference model</t>
  </si>
  <si>
    <t xml:space="preserve">The reference model can be used to generate the structural training pipeline code. </t>
  </si>
  <si>
    <t>ML components. Stubs, dataflows, and role component access functions for the training pipeline.</t>
  </si>
  <si>
    <t>ML model training, ML architecture design, ML based software development, ML based software deployment and evolution (continuous integration/continuous retraining)</t>
  </si>
  <si>
    <t xml:space="preserve">MXNet Gluon (Microsoft/Amazon), Tensorflow (Google), Caffe2. </t>
  </si>
  <si>
    <t xml:space="preserve">artifact model covers artifact types necessary to enable a high level of reuse on system level and to avoid redundant retraining when integrated into a build and dependency system. The artifact model supports us on neural network level enabling us to reuse pretrained network parts and extend them by new layers.  A system incorporating different training algorithms can be implemented using a single framework based on training reference models. </t>
  </si>
  <si>
    <t xml:space="preserve">MNIST, Book_corpus_wiki_en_uncased dataset provided by GluonNLP, </t>
  </si>
  <si>
    <t>EmbeddedMontiArc Deep Learning (EMADL) modeling framework, MontiThings deep learning, Maven build infrastructure</t>
  </si>
  <si>
    <t>accuracy</t>
  </si>
  <si>
    <t xml:space="preserve">We presented a machine learning artifact model which is an important foundation for the development of machine learning-oriented tooling and frameworks, enabling reusability and evolution of all constituents in a machine learning-driven project. By introducing the training-time as an explicit step of the build process, we enable individual training and prevent unnecessary retraining of machine learning components such as deep neural networks. What is more, training reference models coupled with configuration schemas can serve as a strong basis for deep learning frameworks, drastically enhancing their maintainability and extensibility. 
An evaluation featuring a Maven-based, automated build infrastructure and three examples making use of the artifact and the reference models. 
Our approach avoids mixing model and training code with the functionality of the machine learning management tool; the functionalities of our Maven approach can be used in a declarative way. Thus, neural network architectures and training configurations are clearly separated from the Maven based build infrastructure, there is no scattering and tangling of concerns. </t>
  </si>
  <si>
    <t>Only supports supervised learning, generative adversarial networks and reinforcement learning (DQN, DDPG, TD3), no industrial evaluation, no usability study, no human aspects considered, code generation from reference models details missing</t>
  </si>
  <si>
    <t>Motivation: Managing dynamic datasets intended to serve as training data for a Machine Learning (ML) model often emerges as very challenging, especially when data is often altered iteratively and already existing ML models should pertain to the data. The ML engineer had to merge the existing and the new dataset by hand and train the model all over again. 
Goal: intelligent management and the attached training routines of different versions to accelerate, simplify and enhance the development process and model quality. Easy ways for juggling different data versions, while versioning concepts are clear and concise. Conflicts between different dataset versions are to be avoided and the correlation from a trained model to the dataset version should be drawn.</t>
  </si>
  <si>
    <t>This contribution provides agile data management concepts and integrates them and continuous retraining into the model-driven ML Framework MontiAnna. 
Retraining counteracts concept drifts, as the ML model is always opened up for improvement and changes through the training on extensions. This particularly takes effect if the complete process is automized; all required information lies within the dataset, which means, that the deployment of an extension can cause a tool-chain to be triggered including the retraining and model deployment without any explicit interaction required by the ML engineer.</t>
  </si>
  <si>
    <t>Cyber physical systems</t>
  </si>
  <si>
    <t>ML engineers and data scientists</t>
  </si>
  <si>
    <t>model-driven data management framework, event-based retraining pipeline</t>
  </si>
  <si>
    <t>In pom.xml file dataset extension refers to original dataset or previous extension through id and version number
In configuration model made in ConfLang -a modeling language intended to specify hyperparameters related to the training routine in a JSON-like syntax. These include the number of epochs to be trained and the batch size, but also the used algorithm concerning the optimization. A retraining parameter is also included;  can be set to "automatically" for automatic retraining with same parameters or "manually" for explicitly setting parameters before retraining
Neural network architecture model in CNNArchLang - a modeling language intended for the design of neural network architectures. First, the input and the output are defined to match the dimensions given in the dataset. After that, a neural network is constructed by connecting the input to a chain of different layers leading to the output. A variety of layers, like Fully Connected Layers, Graph Convolutional Layers, Convolutional Layers, Pooling Layers, and many more are supported.
The dataset model in TaggingLang</t>
  </si>
  <si>
    <t>CNNArchLang, ConfLang, and TaggingLang from the MontiAnna DSL family</t>
  </si>
  <si>
    <t>2, neural network architecture, configuration model for retraining, maybe also a dataset model</t>
  </si>
  <si>
    <t>MontiAnna code generator</t>
  </si>
  <si>
    <t>neural network code, training code</t>
  </si>
  <si>
    <t>model training, dataset evolution, dataset deployment</t>
  </si>
  <si>
    <t>Yes, models training data, Yes, generates code for training/ dataset loading</t>
  </si>
  <si>
    <t>MXNet/Gluon, Tensorflow, and Caffe2</t>
  </si>
  <si>
    <t xml:space="preserve">Accelerates and automates the  development process, because only the preprocessing and the model had to be changed inside the fully automated workflow. </t>
  </si>
  <si>
    <t xml:space="preserve">case study </t>
  </si>
  <si>
    <t>industrial -  optimal design of lattice structures for crash applications</t>
  </si>
  <si>
    <t>industrial case study no benchmark dataset used</t>
  </si>
  <si>
    <t>MontiAnna modeling framework, Maven build infrastructure</t>
  </si>
  <si>
    <t>Mean Absoulte Error (MAE) and training time</t>
  </si>
  <si>
    <t>re-training time reduction</t>
  </si>
  <si>
    <t>a novel model-driven data management framework for iteratively growing datasets and integrated an automated continuous retraining routine into this. The presented concepts enable us to deal with growing datasets and to store resulting training data efficiently and were integrated into the MontiAnna framework. Saves storage resources and training
time while preserving or improving the model quality.</t>
  </si>
  <si>
    <t>The experiments cover a rather small part of the hyperparameter and architectural space. The improvement of training time and loss in accuracy might deviate for different setups.
The research work was mainly evaluated on a single project. The results might differ when transferred to projects with different organization schemes and tools. Then, the concepts presented in this work might not lead to an increase in agility or process improvement as expected.
In the presented experiment the complete dataset was known from the beginning and we performed an arbitrary splitting into a base and an extension dataset. In a real
scenario data might arrive in chunks of varying sizes which would possibly affect the results.</t>
  </si>
  <si>
    <t>Unclear which ML models are supported, no usability study, no human aspects or responsible AI considered, scalability of approach is not clear, unclear use of TaggingLang</t>
  </si>
  <si>
    <t>In future work, we are going to extend our evaluation to different ML projects and deepen our analysis regarding a more extensive coverage of the hyperparameter and architectural space. Furthermore, we plan to investigate how semantic modeling can be used to further improve the consistency between data and ML models, e.g. by verifying that the given data and its labels are compatible with the chosen network architecture and its parameters. We also aim at implementing a configurable retrain methods, for example the Learning without Forgetting algorithm, to avoid worsening the prediction of learned patterns from previous datasets, when a new task should be trained.</t>
  </si>
  <si>
    <t>Motivation: Smart Internet of Things (IoT) applications require real-time and robust predictive analytics, which are based on Machine Learning (ML) models. Building ML models from Big Data is not only time-consuming, but developers often lack the needed expertise for feature engineering, parameter tuning, and model selection. The proliferation of ML libraries and frameworks, data ingestion tools, stream and batch processing engines, visualization techniques, and the range of available hardware platforms further exacerbates the system design, rapid development, and deployment problems. Finally, resource constraints of IoT require that the execution of the analytics engine be distributed across the cloud-edge spectrum.
Goal: an event-driven Big Data-as-a-Service offering for IoT analytics lifecycle management. There is a compelling need to ease the ML model development process and relieve the developer from the responsibility of having to determine the placement of analytics application components, monitoring their resource usage, and controlling different data processing tasks across the cloud-edge spectrum</t>
  </si>
  <si>
    <t xml:space="preserve">an event-driven Big Data-as-a-Service offering for IoT analytics lifecycle management that provides users with an intuitive, declarative mechanism based on the principles of model-driven engineering to specify the application and infrastructure requirements. It automates the deployment via generative programming principles. </t>
  </si>
  <si>
    <t>IoT analytics application developers</t>
  </si>
  <si>
    <t>framework for design, development and deployment of ML models, modeling language, drag and drop GUI interface, code generator, deployable model, tool</t>
  </si>
  <si>
    <t>ML frameworks (PyTorch, Keras, Theano and more), Data Ingestion tools, Data storage (database applications; mySQL, mongoDB, Oracle and more; Storage type; HDF5, Azure data lake and more), deployment platform, test model, data preprocessing,  a diverse set of ML algorithms including classification (e.g., logistic regression, naive Bayes), regression, decision trees, random forests, recommendation (ALS), clustering (K-means, GMMs), and many others in the Stratum metamodel. Using this metamodel, the data-scientist can drag relevant machine learning blocks, and define all the parameters such as fit_intercept, normalize, n_jobs for Scikit-learn linear regression block or specify the type of layers such as dense, CNN, RNN for deep learning.
Users can express ML pipelines as a directed acyclic graph (DAG) where each node represents a task such as data preprocessing, training based on different ML algorithms, and deployment to evaluate the model and best model selection criteria. The hyperparameter tuning methods such as Grid Search, Bayesian optimization, Gradient-based Optimization, Reinforcement Learning based optimization, etc are an advanced mechanism to evaluate the model, and this is provided as placeholders in Stratum</t>
  </si>
  <si>
    <t>Stratum model</t>
  </si>
  <si>
    <t>new DSML, Stratum - meta models available on github repository</t>
  </si>
  <si>
    <t>7, ML development pipeline model, ML development model, data ingestion model, data analytics application model, resource model, operating system model and data stores model</t>
  </si>
  <si>
    <t>code generator</t>
  </si>
  <si>
    <t>ML (deployable) model and deployment code</t>
  </si>
  <si>
    <t>ML model development, deployment, management</t>
  </si>
  <si>
    <t>Scikit-learn and TensorFlow</t>
  </si>
  <si>
    <t>provides a graphical tool based on a modeling language that allows a user to graphically compose the ML development and deployment pipeline using its supported features, and Its DSML realizes the model and generate the code to automate and orchestrate the application lifecycle management across the cloud-edge spectrum</t>
  </si>
  <si>
    <t>sentiment analysis of Twitter data stream (Evaluation of Rapid Application prototyping Framework), CIFAR10 (Performance Monitoring on Heterogeneous Hardware)</t>
  </si>
  <si>
    <t>WebGME modeling environment, Docker, NodeJS, Jupyter Notebook and Apache Zeppelin</t>
  </si>
  <si>
    <t>accuracy, f1 score, precision, r2 score, ML model execution times on various data and target hardware, ML model execution latency, we monitor the accuracy and loss of the model along with the GPU performance metric such as GPU utilization, GPU memory utilization per core, the power drawn by GPU cores in watt, and the temperature of the GPU machine in Celsius, execution time, CPU, memory, network, disk utilization along with L2, L3 cache bandwidth</t>
  </si>
  <si>
    <t>Stratum provides a unified framework that supports design-time tools and deployment tools for model construction and deployment. It handles deployment across a heterogeneous set of platform spanning from cloud to edge computing platforms. Stratum also provides version support while creating designing models using a visual drag and drop GUI interface. Stratum leverages MDE technologies that facilitate creating custom DSMLs, automated code generation facility, and orchestration of models to be deployed on the target platforms. Based on the number of incoming requests (dynamic workload), we scale up and down the number of ML model containers to guarantee the pre-defined QoS in an event-driven manner using the Docker swarm cluster management tool, as demonstrated in our recent work</t>
  </si>
  <si>
    <t xml:space="preserve">Currently Stratum is capable of generating only Python based code, and only Scikit-learn and TensorFlow are integrated. </t>
  </si>
  <si>
    <t xml:space="preserve">Data pre-processing only includes filtering and normalization. No human aspects, no usability study. Unclear constraint checking. </t>
  </si>
  <si>
    <t>Motivation: Unfortunately Deep Learning based systems are rarely defined systematically following a software engineering methodology. DL approaches could take advantage of traditional software engineering methodologies. Typical DL dataset requirements engineering is limited to an activity whose output is informal and not based on standard modeling languages neither grounded on formal semantics.
Goal: a model-driven engineering (MDE) method based on traditional requirements engineering to improve datasets requirements engineering. Concretely, our focus is on the elicitation and modeling of data types for the dataset under development. With this method the DL scientist can follow a clear process for dataset requirements engineering, supported by tools, while benefitting from advances in established software engineering methods.</t>
  </si>
  <si>
    <t>aids customers and analysts in eliciting, specifying and validating dataset structural requirements for DL-based systems.On the one hand, semi-formal modeling allows one to describe concepts of the dataset under development and to communicate them among
the heterogeneous stakeholders at the desired level of abstraction. We use semi-formal modeling to describe the concepts required for the structure of the datasets, i.e., the datatypes of interest.On the other hand, formal modeling allows us to construct a precise description of the requirements on the structure of the datasets.</t>
  </si>
  <si>
    <t>deep learning scientist/ data scientist and formal expert</t>
  </si>
  <si>
    <t>Iterative Dataset Requirements Elicitation Process, MDE approach, modeling language, graphical editor, code generator, toolset</t>
  </si>
  <si>
    <t>dataset structural requirements (data types for the dataset under development). 
• property is a boolean characteristic of the dataset, data, or equivalence classes. It may be described by its name, signature (ie name and variable parameters), informal textual description, and/or formal expression in Alloy.
• invariant property: a property that is always true, it is a constraint on a DRCM model that must be satisfied.
• Dataset represents the set of data under study. It contains a set of properties and a set of invariants. A given DRCM focuses on the description of a
single dataset.
• Data: is a structured element. It contains fields describing its structure. Fields are described as typed variables, with a name and a type. The type may either be a primitive type (Boolean, String, Int) or another Data defined in the same DRCM model. Data also contains a set of properties and a set of invariants.
• Data equivalence class: is a concept that represents a subset of the dataset’s data and is characterised by a set of properties and invariant properties.</t>
  </si>
  <si>
    <t>dataset requirements concept model (DRCM)</t>
  </si>
  <si>
    <t>new DSL, DRCM meta model provided, UML, Alloy</t>
  </si>
  <si>
    <t>dataset requirements concept model (DRCM), Formal DRCM (an executable model)</t>
  </si>
  <si>
    <t>The generation is implemented with the XTend language well-suited for such Model2Text model transformations.</t>
  </si>
  <si>
    <t>Alloy</t>
  </si>
  <si>
    <t>formal dataset requirements concept model (DRCM) (an executable model)/skeleton alloy code,  representation of the data</t>
  </si>
  <si>
    <t>dataset requirements engineering (dataset requirements structural modeling, model execution, model validation)</t>
  </si>
  <si>
    <t>Provides abstraction through models to specify the dataset requirements and transform them into executable models and validate them. An MDE process to support RE of DL datasets.</t>
  </si>
  <si>
    <t>five-segments digits dataset</t>
  </si>
  <si>
    <t xml:space="preserve">EMF, Eclipse, ecore,sirius, alloy analyzer, xTend  </t>
  </si>
  <si>
    <t>we contributed to the introduction of software engineering rigor in the engineering of datasets for DL-based systems. We presented our model-driven engineering method composed of a process defined with BPMN and supported by a toolset. Our Dataset Requirements Concept Model (DRCM) is modeled in compliance with UML syntax. We presented a DRCM graphical editor implemented EMF and Sirius that allows creating diagrams to ease the requirements elicitation discussions. The DRCM model is executable with the Alloy Analyzer tool, thanks to our informal definition of the DRCM operational semantics as a translation from UML to Alloy. Our Xtend implementation allows us to generate a FDRCM skeleton code in Alloy.</t>
  </si>
  <si>
    <t>The first aspect is the scalability of our method. Our case study is of rather low combinatory complexity. Due to this low complexity, we could specify its requirements models: DRCM and FDRCM at a low level of abstraction, with precise details and also execute all model executions due to the low number of combinations. Let’s note that it is rarely possible to be able to perform all possible model executions. 
The second aspect that we would like to discuss is the toolset limitation. The presented toolset is a prototype implementation, intended to make a proofof-concept in terms of tool-support for our method. Some parts of the toolset must indeed be improved before being transfered to an industrial context, or used at a larger scale. For instance, some limitations include, the fact that the different textual editors are the default ones provided by EMF, thus there is no syntax checking, nor syntax highlighting on the textual expressions written in Alloy, nor rich text editing on the properties and invariants descriptions</t>
  </si>
  <si>
    <t xml:space="preserve">Unclear how UML is used with the new DSL, no human aspects, approach seems complex. No usability study. No relation between dataset and DL model. Is the dataset in the write structure to be fed to the DL model? </t>
  </si>
  <si>
    <t>In this paper, we present a method for improving DL dataset requirements engineering, which has raised a number of interesting future works. In order to increase the MDE dimension of our approach, in our method, the definition of the translational semantics of DRCM models will firstly be improved using an Alloy metamodel. Together with the definition of Model-2-Model transformations from DRCM concepts to Alloy concepts. Secondly, we plan to define a textual domain-specific language (DSL) to allow specifying the DRCM textually. The textual and graphical DRCM will be synchronised such that changes in diagrams update the textual counterpart and vice-versa. Some other future works are related to the rigorous validation of our method. For this, we plan to conduct additional experimentations, with well-known examples like MNIST (Yann et al., 2018). These experimentations will serve for comparative evaluation of our method against existing methods on common case studies. Moreover, we will apply our method on a larger-case study, in the area of earth’s ecosystems health monitoring. This latter case study will investigate scalability, practicality, and possibly adaptation, of our method for potential transfer to larger examples. Lastly, some final future works are related to the software engineering aspects of our approach. We will improve our approach in two ways. Firstly, we will broaden the work on the dataset requirements engineering phase by including other types of functional and non-functional requirements. Moreover this phase should be placed in the more general context of DL-based software requirements. How do the dataset requirements involve (or are involved in) the DL-based software requirements ? Secondly, we will concentrate on the definiton of the succeeding dataset engineering lifecycle phases, e.g., dataset design, dataset production, dataset assessment, dataset deployment.</t>
  </si>
  <si>
    <t>Towards a Unified Model Representation of Machine Learning Knowledge</t>
  </si>
  <si>
    <t>J. G. Enr´ıquez,∗
, A. Mart´ınez-Rojas
, D. Lizcano
and A. Jimenez-Ramırez</t>
  </si>
  <si>
    <t>Motivation: developing a ML project entails the effort of many ML experts who have to select an appropriate algorithm to process the data to learn from. However, there are thousands of algorithms under the paradigm of ML, selecting one becomes a time-consuming and challenging task. Little effort has been done to support the user in the algorithm selection in an efficient manner (i.e., without applying brute force) and based on the problem characteristics (i.e., the early information). The algorithm selection is specifically challenging since the existing knowledge regarding this task is distributed across different sources and each of them is specified in a non-standard manner, thus, making it difficult to consolidate information from different sources, i.e., the name of the algorithms —or family of algorithms—, the selection criteria, and the characteristics of the problem that affect the selection are heterogeneous 
Goal: To reduce the risk of taking inaccurate decisions due to a lack of information, a central repository of the ML Knowledge which stores the information in a structured way is required.</t>
  </si>
  <si>
    <t>A unified language for representing the knowledge related to the algorithm selection in ML
projects. The paper also describes a method to transform the knowledge gathered using this language to a unified knowledge store which can be exploited later on. This store allows to reduce the ambiguity on (1) the name of the characteristics, e.g., number of columns is often used as number of variables or features in some information sources, and (2) the name of the algorithms to recommend, e.g., Bayesian network can be found as Bayes model too. a new process, called term mappings, to improve the traceability between the original knowledge sources and the unified one, (2) the definition of a new concept called representative terms, (3) a new attribute to manage different versions of the knowledge source, (4) a new attribute to consider the weight of the knowledge sources according to their relevance, soundness, or reliability, to optimize the search for the right algorithm</t>
  </si>
  <si>
    <t>modelling language, unified ML knowledge store, model transformer, term mappings</t>
  </si>
  <si>
    <t xml:space="preserve"> MLKnowledge - the knowledge source to be represented in the format of the target knowledge source, knowledge source has a version and weight according to their relevance, soundness, or reliability. Decisions (has attributes expression, source node and target node), Nodes (further specialized into start, algorithm and characteristic nodes)</t>
  </si>
  <si>
    <t>MLKnowledge model</t>
  </si>
  <si>
    <t>new DSL; MLKnowledge, meta model provided</t>
  </si>
  <si>
    <t>1, ML knowledge source model</t>
  </si>
  <si>
    <t>the model present a treelike structure, it is divided into the different paths that exist from the root (i.e., the start node) to any algorithm node. the paths are processed to extract the rules of the knowledge source.</t>
  </si>
  <si>
    <t>Unified Knowledge Store definition</t>
  </si>
  <si>
    <t>individual recommendation rules, unified knowledge source</t>
  </si>
  <si>
    <t>ML knowledge gathering for recommendations during ML development</t>
  </si>
  <si>
    <t>supports the automated generation of ML algorithm recommendations from knowledge source models</t>
  </si>
  <si>
    <t>industrial</t>
  </si>
  <si>
    <t>evaluated in an industrial project using information sources (visual (Sckit-learn, 2019; Microsoft, 2019)) textual (e.g., (Dataiku, 2019))) and more</t>
  </si>
  <si>
    <t>This paper presents an approach to deal with the distributed knowledge of ML. Specifically, it aims to create a repository with rules that help to decide which ML algorithms are suitable to solve a given problem. For this, a common language for modeling this knowledge is proposed. Such a language is stated in form of a metamodel that a computer program can process. In addition, a procedure to transfer these models to a unified knowledge store is described. This store will enable exploiting the knowledge of the distributed sources to make decisions with less risk.
This paper presents an approach to deal with the distributed knowledge of
ML. Specifically, it aims to create a repository with rules that help to decide
which ML algorithms are suitable to solve a given problem. For this, a
common language for modeling this knowledge is proposed. Such a language
is stated in form of a metamodel that a computer program can process.
In addition, a procedure to transfer these models to a unified knowledge
A Unified Model Representation of Machine Learning Knowledge 335
store is described. This store will enable exploiting the knowledge of the
distributed sources to make decisions with less risk and will make it possible
to maintain the traceability of terms mappings to their knowledge source.
So that relationships between terms and representative terms can be changed
if an inconsistency is subsequently detected. Furthermore, each knowledge
source is weighted, which will allow establishing differences between the
recommendations according to their origin.
This results in a unified knowledge store, which allows an external user
to obtain an algorithm recommendation depending on the specific characteristics of her ML problem. For this, she compares the representative
characteristics with those of her problem and, according to its values, some
of the rules are fired with a weight associated with the knowledge source.
Although all these rules may recommend an algorithm, only the one that takes
greater weight is selected.</t>
  </si>
  <si>
    <t>However, this work considers some assumptions that limit its application.
First, the suggested unified knowledge store keeps simple rules lacking
more complex syntax like OR or NOT expressions. Second, it considers
that knowledge sources do not evolve, so no versioning or dating of terms
is stored. And finally, using this proposal requires manual work to model
the knowledge source through the provided language which may entail a
considerable effort depending on the number of sources. Nonetheless, this
effort will be leveraged not only by a single ML project but by the future
ones too.</t>
  </si>
  <si>
    <t>The number of knowledge models can increase and become difficult to manage. No human aspects considered. No usability study. Evaluation and case study details missing in paper.</t>
  </si>
  <si>
    <t>As further future work, we plan (1) to exploit the unified knowledge
store in order to generate a decision support tool, (2) to extend the traceability scope to keep track of every decision which is made from the early
stage of translating the knowledge source into the common language, (3)
to extend the proposed MLKnowledge language capabilities since complex
expressions, such as disjunctions and negations, occasionally appear within
the antecedents of knowledge sources, and (4) to introduce the concept
of intensity of recommendation with the aim of expressing the degree of
acceptance of the recommendations, since some knowledge sources express
a distinction between the value of different recommendations (e.g., excellent
vs acceptable recommendations)</t>
  </si>
  <si>
    <t>Motivation: The Machine Learning (ML) world is in constant evolution, as the amount of different algorithms in this context is evolving quickly. Until now, it is the responsibility of data scientists to create ad-hoc ML pipelines for each situation they encounter, gaining knowledge about the adequacy between their context and the chosen pipeline. Considering that it is not possible at a human scale to analyze the exponential number of potential pipelines, picking the right pipeline that combines the proper preprocessing and algorithms is a hard task that requires knowledge and experience. In front of the complexity of building a right ML pipeline, algorithm portfolios aim to drive algorithm selection, learning from the past in a continuous process. However, building a portfolio requires that (i) data scientists develop and test pipelines and (ii) portfolio maintainers ensure the quality of the portfolio and enrich it. The firsts are the developers, while the seconds are the operators.
Goal: Faced with this complexity of building a right ML Pipeline, different complementary solutions are proposed: the DataOps movement to help with experiments, meta-learning to predict performances or dedicated environments such as algorithm portfolios to learn from the past in a continuous process.  Focusing on (1) the characterisation of some criteria related to portfolio construction in this context, and (2) the use of a portfolio meta-model, the main element of which is the pipeline, to support these different criteria.</t>
  </si>
  <si>
    <t>One of the benefits of a portfolio is to have short production and feedback cycles. 
This approach brings to the meta-learning ecosystem the benefits of the DevOps paradigm, such as change reactivity (new algorithms produced by devs as well as experiments performed by the ops are enriching themselves), reliability (thanks to the reproducibility
of the experiments and the shipment of the pipelines as turnkey containers), automation (the quality of the knowledge is ensured by automated measurement process).
Cross-constraints also highly reduce the number of pipelines.</t>
  </si>
  <si>
    <t>developers(data scientists) who define new Machine Learning Pipelines (MLP), test them, evaluate them; (ii) operational people who support the platform</t>
  </si>
  <si>
    <t>modelling language for ML pipeline and ML portfolio, model-based portfolio solution dedicated to ML, code generator, prototype tool with graphical form based interaface</t>
  </si>
  <si>
    <t xml:space="preserve">Pipeline model; a Machine Learning Pipeline (Pipeline) as a sequence of ML algorithm calls (Activity). The last step of a Pipeline refers to a PredictiveActivity. MLComponents, Relations, constraints meta-features (e.g., the number of classes, percentage of binary attributes), Conditions (define constraints on meta-features). The function predict associated with a GhostCondition returns the meta-features that should be modified when executing the linked component. Only one postcondition is associated with a component.  cross-component constraints.
Portfolio model; 
Architecture Elements (Registries - dataset registry, MLComponentRegistry, associate to certain MLComponent a meta-learning model (MLModel) that supports the prediction of the efficiency of a new pipeline for a given dataset. Experiments and Pipelines - The pipelines known by the system, as well as the meta-learning experiments made
on these pipelines are stored in a service modeled by the XPBase concept. It supports the querying of the pipeline set, and its evolution (e.g., the addition of a new pipeline). We attach to each experiment Justifications) 
Supporting Ops (Integrating a new algorithm: Composition Step, Experiment Preparation Step, Experiment Selection Step, Experiment Execution Step, experiment results, justification), dataset
</t>
  </si>
  <si>
    <t>ML pipeline model, ML portfolio model</t>
  </si>
  <si>
    <t>new DSLs, ML pipeline and ML portfolio; meta models provided</t>
  </si>
  <si>
    <t xml:space="preserve">1, ML pipeline </t>
  </si>
  <si>
    <t>pipeline code, prototype tool</t>
  </si>
  <si>
    <t>ML pipeline, ML portfolio</t>
  </si>
  <si>
    <t>WEKA</t>
  </si>
  <si>
    <t>supports automated generation of ML pipeline code through models</t>
  </si>
  <si>
    <t xml:space="preserve">experiments..results not shared in study </t>
  </si>
  <si>
    <t>ten preprocessing algorithms from the Weka library and set their post-conditions according to their semantics. We extracted 94 algorithms with different enhancers3 for a total of 483 algorithms. Enhancers are strategies to set hyperparameters according to the input dataset.</t>
  </si>
  <si>
    <t>Eclipse, Maven</t>
  </si>
  <si>
    <t>predictive accuracy, the area under the ROC curve</t>
  </si>
  <si>
    <t>amount of potential pipelines for selected algorithms</t>
  </si>
  <si>
    <t>the application of the DevOps paradigms to meta-learning, where devs are data scientists and ops algorithms portfolio maintainers. We proposed to generate Machine Learning Pipelines based on a set of preprocessing and learning algorithms without executing them
when possible, saving time and resources. a model-driven approach that relies on the definition of carefully chosen abstractions can support both devs and ops in this domain.
In the context of machine learning, contrarily to the blackbox approaches that only exposes a result, relying on models supports the explainability of the decisions to the user, supporting devs (who know why a given pipeline was chosen) and ops (who knows why an experiment is more valuable than another and should be prioritized)
we showed that pre- and post-conditions highly reduce the space of consistent pipelines
and are crucial to support the scalability of the approach.</t>
  </si>
  <si>
    <t>evaluation needs more detail, no human aspects modeled, no usability study, code generation process unclear, very large number if potential pipelines.</t>
  </si>
  <si>
    <t xml:space="preserve">These pre and post conditions depend on the number of meta-features and can be improved by adding more meta-feature types and extending constraints expressiveness. . In particular, one of our short-term objective is to look at how dataset generation strategies might allow improving the pre- and post-conditions of preprocessings [3] and extending them to automatically take new algorithms into account generating their pre and postconditions. We are currently working on machine learning environments such as OpenML [18] to automatically extract cross-constraints (e.g., dominated algorithms [2]). To facilitate the addition of such cross-constraints by humans, we aim to build a Domain Specific Language dedicated to ML experts. </t>
  </si>
  <si>
    <t xml:space="preserve">Motivation:  Using ML techniques to work with Big data is a complex task, requiring specialized knowledge of the problem space, domain specific concepts, and appropriate ML approaches. However, specialists who possess that knowledge and programming ability are difficult to find and expensive to train. Model-Driven Engineering (MDE) allows developers to
implement quality software through modeling using high-level domain specific concepts.
Goal: In this research, we attempt to fill the gap between MDE and the industrial need for development of ML software by demonstrating the plausibility of applying MDE to Big Data. Specifically, we apply MDE to the setting of the thriving industry of professional baseball analytics. </t>
  </si>
  <si>
    <t>there are many domain experts in various fields who could benefit from Model-Driven Engineering to build machine learning software but have neither the expertise nor resources
required. We hoped that MDE could help address this shortfall.</t>
  </si>
  <si>
    <t>Big Data + ML applications</t>
  </si>
  <si>
    <t>developers, domain experts</t>
  </si>
  <si>
    <t>modelling language extension (UML profile), code generator,</t>
  </si>
  <si>
    <t xml:space="preserve">ML model inference; Node, Gate, GateOption, and Plate elements extend from UML Class. The Variable and Factor elements are both specialisations of Node. Observed Variable and Random Variable are specialisations of Variable. </t>
  </si>
  <si>
    <t>ML inference model</t>
  </si>
  <si>
    <t xml:space="preserve">UML </t>
  </si>
  <si>
    <t>1, ML inference model</t>
  </si>
  <si>
    <t>code generated using Epsilon generation language (EGL),  Epsilon Coordination Language (EGX), Epsilon Object Language (EOL).  This will automatically generate source code that makes calls to the Infer.NET library.  the Factors and Observed &amp; Random Variables are the only ones that we accounted for in our code generation engine. We ignored the other constructs, such as Gate, GateOption, and Plate as they were unnecessary for our case study to demonstrate the plausibility of using MDE to create machine learning software without writing code manually.</t>
  </si>
  <si>
    <t>C#</t>
  </si>
  <si>
    <t xml:space="preserve">code </t>
  </si>
  <si>
    <t>ML inference</t>
  </si>
  <si>
    <t>Infer.net, Pandas</t>
  </si>
  <si>
    <t>using MDE to create machine learning software without writing code manually.</t>
  </si>
  <si>
    <t>case study -base ball analytics</t>
  </si>
  <si>
    <t xml:space="preserve"> play-byplay pitching statistics from the 2016 and 2017 MLB seasons of the Cincinnati Reds, New York Yankees, New York Mets, and Toronto Blue Jays. </t>
  </si>
  <si>
    <t>Papyrus, UML</t>
  </si>
  <si>
    <t>prediction accuracy</t>
  </si>
  <si>
    <t xml:space="preserve">generated code quality using input space partitioning, </t>
  </si>
  <si>
    <t xml:space="preserve">Supports domain experts in creating ML software using MDE. our work allows a user to build model instances in Papyrus and have the native model validation tool ensure that their model instances are in accordance with the metamodel. our goal was to validate the plausibility of the MDE approach to building machine learning software. The key quantitative takeaway is that our automatically generated C# code executed and gave us an improvement in prediction accuracy over a naive classifier. 
Our application of this MDE solution to an industrial machine learning context provides evidence of a complete application of machine learning MDE, and helps prove the viability of MDE in the machine learning domain. </t>
  </si>
  <si>
    <t>In particular, a mismatched number of training observations for each Observed Variable is allowed by the program. If a user inputs 3 values for one Observed Variable and 4 for another, the code will still execute when it should throw an exception. The generated code can still make predictions given nonsensical data, but the value of these observations is limited.</t>
  </si>
  <si>
    <t>High dependence on Infer.net. More than half the concepts in the model are not needed/ not used in code generation. Only works for binary classification. No human aspects, no industrial evaluation. no usability study.</t>
  </si>
  <si>
    <t>We plan on addressing such concerns in future work by placing limits on the possible values that can be entered in Papyrus. Given that Papyrus allows for such limits on entered values, our MDE method need not be limited to the realm of baseball analytics. These limits can be
adjusted as appropriate depending upon the domain.
An interesting area of future work would be to assess the degree of difficulty involved in using our approach. For example, we could recruit volunteers to help further support our claim that MDE is viable in the machine learning domain. Additionally, we could quantify how much effort a domain expert would require to address a relevant domain data problem, and how much they enjoyed this MDE-based method. Lastly, we could also compare it to some of the approaches we describe in our Related Work section using the same dataset to better explicate its advantages and benefits over other methods. We deemed this beyond the scope of the project at this time.</t>
  </si>
  <si>
    <t xml:space="preserve">Motivation: In RL, intelligent agents repeatedly interact with their environment and learn from the consequences of their actions. A key to effective RL is often the presence of a simulated environment that mimics the one that the agent is supposed to be optimized against. Such simulators allow for great numbers of training iterations in a cost-effective manner and without affecting the real environment. A systematic modeling and design process that allows efficient development of maintainable and comprehensible simulators can, hence, be beneficial for effective RL. 
Goal: We propose an approach for model-driven generation of RL environment simulations with discrete action spaces using goal models. The proposal utilizes earlier work for model-driven development of decision-theoretic action theories, whereby the standard iStar 2.0 notation is extended to include preconditions, stochastic effects, and reward modeling.  </t>
  </si>
  <si>
    <t>The proposed capability can help analysts in various ways. On one hand, independent of the presence of an accurate probability model, analysts can compare various RL algorithms among each other and against their model-based counterparts (e.g., DT-Golog, dynamic programming) with respect to, e.g., their accuracy, training latency or sensitivity under changing parameters. On the other hand, when models are large, certain model-free RL approaches may prove to be preferable to computationally expensive model-based solutions. Thanks to the proposed extension, the overall framework can prove useful for developing process adaptation mechanisms within socio-technical systems that use past experience to improve ways to achieve business goals.</t>
  </si>
  <si>
    <t>reinforcement learning</t>
  </si>
  <si>
    <t>Intelligent agent applications using Reinforcement Learning</t>
  </si>
  <si>
    <t>analysts</t>
  </si>
  <si>
    <t>framework/existing approach extension, discreteaction simulation environments for RL</t>
  </si>
  <si>
    <t>the basic elements of the language: goals, tasks, qualities, AND- and OR-decompositions as well as a role and their actor boundary. To this baseline, a set of constructs have been added to allow for expression of action-theoretic aspects. Firstly, a set of logical domain predicates are introduced for modeling the state of the world. We borrow the belief construct from GRL [4] to place such domain predicates in the diagram. We further specialize these beliefs into effects and preconditions. While the former contain single predicates, the latter contain logical formulae thereof. The preconditions are connected to tasks through precedence links (or, respectively, their negative dual, negative precedence links) signifying that preconditions must be satisfied before tasks are performed (resp., that if they are satisfied the tasks cannot be performed). The additional aspect of interest is that tasks can be stochastic, i.e., lead to alternative effects, each with a different probability. To model this, effect groups are introduced which are simple tree-like structures that represent alternative effects of tasks, each annotated with its probability, when available. Finally, the framework considers that a quality is attained (or denied) not by mere attempt to execute a task or fulfill a goal, but by the observed success of task performance. Qualities are hence connected with effects rather than directly with tasks and goals. The links used for those connections are specializations of iStar 2.0’s contribution links that we call utility links to highlight their decision-theoretic semantics. Utility links may also be annotated by a number signifying the level at which the truth value of an effect affects the overall utility of a state. Often, however, both probability and utility structures are too complex to be represented through annotations. In such cases effect tables and utility tables are utilized, accompanying the diagram.</t>
  </si>
  <si>
    <t>goal models</t>
  </si>
  <si>
    <t>iStar 2.0</t>
  </si>
  <si>
    <t>1, goal model</t>
  </si>
  <si>
    <t>DT-GoLog specification/model</t>
  </si>
  <si>
    <t>simulations for RL</t>
  </si>
  <si>
    <t>Extended goal models are translated into a domain specification which, along with a DT-Golog interpreter, can be used for performing model-based decision theoretic reasoning</t>
  </si>
  <si>
    <t>DTGolog, Prolog, OpenAI Gym</t>
  </si>
  <si>
    <t>We described an extension to a framework for performing decision-theoretic reasoning with goal models with additional components that allow the automatable generation of discreteaction simulation environments for RL. Through the extension, goal models can be used as the basis for model-driven engineering both of reasoners for model-based identification of optimal policies and of simulations that allow model-free learning of optimal policies. The specific extension to derive simulations for model-free learning can be utilized in different ways, including benchmarking model-free RL algorithms against a known model, or testing modelfree solutions when models that are too large for model-based reasoning. While the overall framework has been motivated towards design-time identification of optimal task sequences under uncertainty within socio-technical analysis contexts, the proposed extension also paves the way for model-driven design and prototyping of run-time process/workflow management components that learn from experience</t>
  </si>
  <si>
    <t>No evaluation, no human aspects considered, unclear how socio-technical aspects are considered in the approach. No usability study no scalability details. Required knowledge of decision-theoretic action theories</t>
  </si>
  <si>
    <t>Of great priority for future investigation is whether there are RL techniques that are indeed
more effective and efficient than DT-Golog for any size or type of goal model, and, furthermore, whether there are synergies between the two, e.g., training against the simulation to assist parallel search in the state space. Furthermore, we are exploring ways to model continuous state spaces using iStar extensions. Should that be possible, the modeling framework could prove useful for iStar-driven development of RL agents for physical or cyber-physical systems.</t>
  </si>
  <si>
    <t>Motivation: With the advent of Internet of things (IoTs), massive amount of data is being generated from different sources. The centralized architecture of cloud has become inefficient for the services provision to IoT enabled applications. For better support and services, fog layer is introduced in order to manage the IoT applications demands like latency, responsiveness, deadlines, resource availability and access time etc. of the fog nodes. However, there are some issues related to resource management and fog nodes allocation to the requesting application based on user expectations in the fog layer that need to be addressed.
Goal: a Framework, based on Model Driven Software Engineering (MDSE) that practices Machine Learning algorithms and places fog enabled IoT applications at a most suitable fog node.</t>
  </si>
  <si>
    <t>a meta-model for application placement on fog nodes using machine learning algorithms. The Proposed meta-model takes user’s preferences and places the request on the node with most optimized features that fulfill the user’s expectations. Rules based machine learning methods are used to create rules based on user’s requirements metrics and then results are optimized to get requesting device placement in the fog layer. It reduces the complexity and provides the flexibility to enhance the model according to the user’s requirements as per the true essence of Model Driven Software Engineering.</t>
  </si>
  <si>
    <t>modeling language, framework, code generator</t>
  </si>
  <si>
    <t>Fog Layer. Fog module is composed of Fog Computational Node and Fog Gateway Node. Fog Computational Node further consists of communication, controller and computational component. Fog layer can have multiple fog computing nodes. Each IoT device can be connected to a limited number of nodes. Computational components contain multiple Micro Computing Instances (MCI) where application executions are assigned. Communication components perform networking tasks like packet forwarding, routing etc. Controller component is there to monitor and control the functions of communication and computational component. Fog gateway node contains application display unit and a data container. 
Machine Learning Layer. The most important layer where the actual placement logic is performed is the machine learning layer. This layer provides a machine learning algorithm selector. Rules based algorithms can be selected among four of these: Fuzzy logic, OneR, Rippers Algorithm and Decision Tree.
Application mapping.</t>
  </si>
  <si>
    <t>application placement model</t>
  </si>
  <si>
    <t>new DSL, application placement; meta-model provided</t>
  </si>
  <si>
    <t>1, application placement (structure design model)</t>
  </si>
  <si>
    <t>ML algorithm selection and application</t>
  </si>
  <si>
    <t xml:space="preserve">Modeling provides a compact, reusable and flexible way of providing a solution for application placement in the fog layer. </t>
  </si>
  <si>
    <t>no dataset mentioned</t>
  </si>
  <si>
    <t>Complexity: How much the proposed algorithm is complex from computational point of view, iterations and execution and resources?Computational Cost: Cost of running an algorithm based on time, resources utilization and efficiency</t>
  </si>
  <si>
    <t xml:space="preserve">Flexibility Scalability </t>
  </si>
  <si>
    <t>Our proposed method is a much better method for application placement as compared to the rest due to the following reasons: 1) It has reduced the complexity of the placement system by providing the lower level implementation baseline in an abstract form. 2) The model is reusable and can be modified as required with more user expectation metrics for similar systems. 3) The optimum placement of application can be achieved through this model. 4) The model is flexible and can be enhanced for additional machine learning algorithms. 5) The model can generate an organized code (after model to text transformation) in python with various modules of the model as functions. Python is well known language for implementing machine learning algorithms and many built in packages are available, so implementation of rule generation algorithms will be a simpler task in python. 6) This model can be used as a source model for model to model or model to text transformation.</t>
  </si>
  <si>
    <t>There are certain limitations of the proposed model. Model cannot be directly translated to required language. There is always a platform and location dependency. Moreover, user is required to provide implementation details in the code.</t>
  </si>
  <si>
    <t>only supports 4 ML algorithms, unclear which ML libraries/frameworks if any are used. does not model or generate code for training. No human aspects considered, no usability study</t>
  </si>
  <si>
    <t>For future work, this model can be further simulated and can be used for real time scenarios. It can be automated and thereafter used for various customized scenarios of fog applications as well.</t>
  </si>
  <si>
    <t xml:space="preserve">Motivation: —Machine learning improves the development of selfadaptive systems, i.e., to react to unforeseen situations. However, state-of-the-art smart home platforms lack the ability to integrate machine learning models directly into their knowledge base. While there are machine learning approaches for smart home environments, they are usually not integrated nor represented in the middleware of smart environments. Instead, they rely on
data obtained previously and use it in a form prepared for a single use case. 
Goal: our aim is to extend existing middleware platforms to integrate machine learning algorithms as first-class concepts of the knowledge base. To achieve this, we employ relational Reference Attribute Grammars to design and implement an integrated runtime model, where machine learning models can be represented and related to elements of the extended knowledge base, e.g., physical entities, location, users, and activities. Consequently, this enables using a state-of-theart middleware to build a self-adaptive system, which integrates machine learning algorithms enabling both context-awareness and self-awareness. </t>
  </si>
  <si>
    <t>we build a knowledge base utilizing relational Reference Attribute Grammars representing the runtime model acting as a bridge between middleware and machine learning algorithm.
We chose this concept, because both the resulting model and the computations on it can be described declaratively and executed efficiently, for which it provides a solid theoretical background, and allows not only model querying and transformation. Additionally, RAG implementations allow the integration of imperative code required to integrate other platforms. The approach supports different platforms, and thus a wide range of devices, and also supported multiple machine learning approaches.</t>
  </si>
  <si>
    <t>smart homes with self adaptive systems</t>
  </si>
  <si>
    <t>smart home entity model, an approach to extend existing middleware platforms to integrate machine learning algorithms, knowledge base</t>
  </si>
  <si>
    <t>As openHAB already defines most of the required concepts, they are reused in our smart home entity model, e.g., a thing describes a physical entity and is linked via channel objects to item objects representing its capabilities and their current state. The concept thing is then identical to entity in Home Assistant, instance in ioBroker and device in FHEM. The state of an item in openHAB corresponds to a property of entity, instance and device, respectively. Furthermore, the state of an item is typed, which is not explicitly described in platforms other than openHAB since they all are written in dynamically typed languages.
we want to extend the model and the resulting system towards self-adaptive behaviour. For this, four additional aspects are needed: 
a) Location: Describes a physical or conceptual place for elements of the model. This concept is very similar to zones in Home Assistant. However, a location is not only provided for devices, but also for concepts from the other three aspects described below. 
b) User: Reifies a person located in the smart home to relate them to other parts of the model. This opens the possibility for personalized preferences or rules, and enables strategies to resolve potential conflicts for situations with more than one person in a room and those persons having different preferred settings. 
c) Activity: Description of a possible activity a user can perform within the smart home. Activities are predefined during development of the system, since they should be both meaningful to a user and recognizable by the system. Furthermore, they build a lattice, i.e., there are more general activities like Reading and specialized versions, e.g., Reading a book.
d) Preference: Similar to the concept of a scene in Home Assistant, a preference is the set of states for smart home entities wanted by one user when performing a certain activity
in a particular location. Preferences are either set manually, or automatically using the knowledge of previous manual settings, as described below.
machine learning model, activity recognition machine learning model, user preferences machine learning model. Relations between smart home entities and machine learning model</t>
  </si>
  <si>
    <t>smart home entity model</t>
  </si>
  <si>
    <t>Reference Attribute Grammars</t>
  </si>
  <si>
    <t>1, entity model</t>
  </si>
  <si>
    <t>JastAdd code generator</t>
  </si>
  <si>
    <t>code, encoded and decoded models</t>
  </si>
  <si>
    <t>ML components integration</t>
  </si>
  <si>
    <t>Encog</t>
  </si>
  <si>
    <t xml:space="preserve">implement an integrated runtime model, where machine learning models can be represented and related to elements of the extended knowledge base, e.g., physical entities, location, users, and activities. </t>
  </si>
  <si>
    <t>case study - small smart home</t>
  </si>
  <si>
    <t>dataset name not mentioned</t>
  </si>
  <si>
    <t>Java-based Reference Attribute Grammar system JastAdd</t>
  </si>
  <si>
    <t>To create such a system for a smart home use case, multiple middleware platforms are available and need to be integrated with different machine learning components. In this paper, we realized this integration with a runtime model between smart home middleware platforms and machine learning components. The former offer support for hardware devices by abstracting over communication details, while the latter are able to infer new knowledge at runtime. We employed relational RAGs to design and implement a runtime model, connect to smart home platforms and integrate machine learning components.</t>
  </si>
  <si>
    <t>the encoder has two tasks (feature selection, and mapping between models). These tasks should be separate to increase reuse further. Additionally, it is currently not completely clear how to handle interferences of different preferences when having multiple users. Currently, new settings simply overwrite older ones. There are also challenges related to user experience and machine-learning-controlled adaptation. Currently preferences can not be adjusted directly, but only by adjusting affected properties of items manually. It is not specifiable, how long such a manual override of a learned and applied preference should have precedence over the learnt preference and how large the influence of a manual setting should be on the learnt one. This is due to the unknown intend for changing the setting, as it either should be a temporary change, or the new default setting. Information stored in the knowledge base could somehow be used to reason about intention of users.</t>
  </si>
  <si>
    <t>unclear code generation, evaluation metrics unclear. No industrial evaluation. Scalability of approach unclear. No human aspects considered. unclear how ML models are trained. Unclear if approach will work for ML models other than classification</t>
  </si>
  <si>
    <t>As future work, we plan to extend the notion of integrated algorithms, that is, we do not only want to integrate machine learning approaches, but also others like ones based on rules,
similarities, or genetic programming. We believe, that this is an easy extension, since the information needed by those approaches is similar to the ones we already have integrated.
We will also further confirm the applicability of our knowledge base by integrating more smart home platforms. This enables a unified model to support a very wide range of supported devices, and may also bear the challenge of having a distributed model. Another interesting approach is a declarative description of invariants ensuring some predicate on the state of certain parts in the knowledge base, and to prove their compliance. In addition, rules could be synthesized to always ensure such invariants.</t>
  </si>
  <si>
    <t xml:space="preserve">Motivation: Demand for data scientists is way ahead of supply. One reason why data scientists are that hard to find can be found by considering the skillset they have to possess. implementing an algorithm specific to a given graphical model in software is still a demanding and effortful task. Fortunately, there is software shielding users from these complex issues. An example is Infer.NET [11], a library providing facilities for probabilistic model specification via an application programming interface (API). This way of implementing data analytics techniques is called a model-based approach to machine learning [12]. While such frameworks greatly reduce the complexity of implementing machine learning approaches, the full potential is not yet leveraged. Modeling is done programmatically via calls to an API. With probabilistic models being represented graphically anyways, it is easily conceivable to do the same thing entirely via visual notations. Not only may this further boost productivity. It may also facilitate collaboration in teams of technical and domain experts. 
Goal: defining a DSML for probabilistic modeling. The design goal is to allow for entirely visual specification from which executable code can be generated that fits models to data. The ultimate goal of this research is to make the process of analyzing big data both easier and more efficient, thereby helping to close the gap between supply and demand of data scientists. </t>
  </si>
  <si>
    <t xml:space="preserve">reduces the skills necessary to implement probabilistic models and may speed up development processes. </t>
  </si>
  <si>
    <t>big data analytics applications</t>
  </si>
  <si>
    <t xml:space="preserve">experts in the domain of doing inference in probabilistic models with no or partial observations. </t>
  </si>
  <si>
    <t>modelling language,  rudimentary code generation scheme</t>
  </si>
  <si>
    <t xml:space="preserve">variables which are either random or observed. Both have associated data types stored in the attribute type, and the latter have an attribute called value to store the observation. Variables are connected to each other via factors. They define the distributions over the variables. Factors can be of different types. They broadly fall into the classes of distribution factors (Gaussian, discrete, …) and derived factors (sum of two or more variables, inner product of random vectors, …), which is documented in the attribute type. A factor is parameterized by at least one variable, which is captured in the is parameter for relationship.All factors define a distribution over exactly one random variable, which is indicated by the produces relationship. Both variables and factors are subsumed in the abstract entity type Node which can be given a textual description (the name attribute). Nodes can lie in two types of areas. They can be in a Plate, in which case they are not single nodes but arrays of nodes indexed by the plate. The index runs from one to plateSize. If a
node belongs to multiple plates, it becomes a high dimensional jagged array. To consistently index these arrays, an arbitrary total order must be defined on the plates. It is codified in the is higher than relationship. In any case, if only a specific variable or factor should be used and not all, a selector variable must be defined. The ternary relationship selects codifies this. Nodes may also lie within a GateOption to allow for describing mixture models. Gate options belong to exactly one Gate, which in turn belongs to exactly one random variable. The value associated with a gate option must be a possible value of that random variable. It is specified using the value attribute. Gate options may be nested in each other as documented in the is nested in relationship. When using the model, the purpose is to infer the posterior distributions conditioned on all observations to make predictions for new data. Hence, it must be indicated which observed variables (priors) are to be replaced with inferred posteriors. This is done using the Boolean attribute infer? of the entity type Observed Variable. After setting the posteriors, training data will be replaced with new data. Any variable for which no new data will be available can be marked as one for which a posterior predictive distribution shall be evaluated. This is done using the predict? attribute. 
Directed graphical models represent a joint distribution by breaking it down into local pieces. 
Latent variable; Defines a random variable.
Observed variable; Defines a random variable clamped to an observation.
Parameter; Defines a parameter of the model.
Dependency relationship;  Indicates that the distribution of one random variable depends on another variable or parameter.
Plate; Defines an area that is repeated N times.
Gate; Depending on a random variable, it selects different parts of the model with respect to the random variable’s value.
graphical models describe how a joint distribution can be decomposed into factors. Factor graphs are an explicit representation of this factorization. Their basic constructs include 
Variable;  Defines a random variable.
Factor; Correspond to factors of the joint distribution.
Relationship; Indicates which random variables are part of which factor. </t>
  </si>
  <si>
    <t>probabilistic graphical model for big data analytics</t>
  </si>
  <si>
    <t>new DSVL, entity relationship notations</t>
  </si>
  <si>
    <t>probabilistic graphical model</t>
  </si>
  <si>
    <t>No automation</t>
  </si>
  <si>
    <t xml:space="preserve"> rudimentary code generation scheme</t>
  </si>
  <si>
    <t>ML model inference</t>
  </si>
  <si>
    <t>Infer.NET</t>
  </si>
  <si>
    <t xml:space="preserve">boost productivity, avoid errors made when programming manually and allow specifying functionality declaratively instead of imperatively. </t>
  </si>
  <si>
    <t xml:space="preserve">Motivated by the lack of data scientists in industry I have proposed an initial conceptualization of a DSML supporting code generation from visual representations of probabilistic models for big data analytics. Starting at existing notations, extensions have been defined based on analysis of the Infer.NET modeling API. How modeling constructs correspond to code has been illustrated informally by a rudimentary code generation
scheme. </t>
  </si>
  <si>
    <t>no actual code generator for the Infer.NET library has been implemented yet. Doing so
would substantiate the claim that the DSML does in fact cover all constructs necessary. I plan to address this limitation in the future by implementing a DSML using Microsoft’s Visualization and Modeling SDK. Another limitation is the focus on only a single library, namely Infer.NET. Referring back to the analogy of linear programming, the ideal DSML would be library-independent and could generate code for a wide range of them. Unfortunately, these libraries are in an earlier stage of development. PGMs  are not expressive enough to becapable of modeling the entire system in detail.</t>
  </si>
  <si>
    <t>No concrete implementation, no evaluation, no human values considered</t>
  </si>
  <si>
    <t>Unfortunately, these libraries are in an earlier stage of development. In the near future, I do not expect them to be standardized and stable enough to ensure easy interoperability. Integrating other libraries can therefore be a long term goal only. It might be fruitful though to analyze standalone software packages that have been discarded in this paper’s review. Some of them have GUIs, yet they are often meant to be used for educational examples instead of sophisticated models (e.g., DoodleBUGS, the GUI of the BUGS project). Nevertheless, such GUIs may inform the design of concrete syntax for the DSML and could also reveal deficits that have not shown up so far. A review is left to future research.</t>
  </si>
  <si>
    <t>Software &amp; Systems Modeling</t>
  </si>
  <si>
    <t>in Machine Learning (ML), which is currently the most popular sub-discipline of AI, mathematical models may learn useful patterns in the observed data and can become capable of making predictions. The goal of this work is to create synergy by bringing models in the SE and ML communities together and proposing a holistic approach to model-driven software development for intelligent systems that require ML.</t>
  </si>
  <si>
    <t xml:space="preserve">We illustrate how software models can become capable of creating and dealing with ML models in a seamless manner that does not require any knowledge and skills in the particular APIs of the underlying platforms and libraries. In the context of the need to take a Cyber-Physical System-of-Systems perspective of the targeted architecture, an integrated design environment for both SE and ML sub-systems would best support the optimization and overall efficiency of the implementation of the resulting system. </t>
  </si>
  <si>
    <t>smart cyber physical systems, IoT</t>
  </si>
  <si>
    <t>software developers</t>
  </si>
  <si>
    <t>extension of ThingML meta-model, extension of ThingML code generator, prototype tool</t>
  </si>
  <si>
    <t xml:space="preserve">We extend the DSL of ThingML with the following items: (a) An optional DA/ML block for each thing, which can, e.g., include the list of properties (variables), which shall be considered as the ML features/attributes, and the choice of ML model and algorithm in the expert mode. If the user is not an expert in ML, the mode shall be set to AutoML instead of the expert mode. (b) New options in the imperative action language that may be employed for event-driven programming. The new options include DA save action, DA preprocess
action, DA train action and DA predict action. They can be used in the conditions for the transitions of the state machines of things responsible for DA/ML.
we list and briefly explain the possible parameters and options in the said data analytics section of the model:
1. Data_analytics: This parameter determines the name of the DAML component, e.g., da_1.
2. Dalib: The optional @dalib annotation specifies the name of the library or framework which must be used for DAML. 
3. Labels: This is a binary parameter. If it is ON, it implies that the ML task is supervised. If the data type of that item, defined as the data type of the corresponding property (local variable) of the thing is numeric, e.g., Integer or Float/Double, then the ML task is a regression task. Otherwise, it is a classification task. Furthermore, if the parameter is set to OFF, then the task is unsupervised, e.g., clustering. 
4. Features: This is a list of the properties (local variables) of the thing which shall be considered as the ML features (attributes). 
5. Prediction_results: This parameter determines the property (local variable) of the thing in which the prediction result, i.e., the output of the ML model prediction must be stored. 
6. Dataset: The path of the dataset on the file system that shall be used for training the ML model. 
7. AutoML: This is a binary parameter indicating whether the AutoML mode must be used. If set to ON, a number of AutoML functionalities will be supported that can assist the practitioner, especially the novice users in the DAML field. 
8. Sequential: This is a Boolean parameter that indicates whether the input data are sequential, e.g., time series, where the order of data instances matter. 
9. Timestamps: This binary parameter states if the data instances have timestamps or not. 
10. Preprocess_feature_scaling: This parameter specifies the feature scaling technique that must be used in the data preparation (pre-processing) pipeline. 
11. ML Model/Algorithm: Here, one can specify the particular ML method, including the ML model architecture (family) that must be deployed, e.g., Multi-Layer Perceptron (MLP) ANN, Decision Tree, etc.
12. Training Results: This is the path of the text file in which the log of ML model trainings shall be stored. The log includes information about the time of each training and
the chosenML model/algorithm. </t>
  </si>
  <si>
    <t>Visual &amp; Textual</t>
  </si>
  <si>
    <t>ThingML extension for Data analytics and ML model</t>
  </si>
  <si>
    <t>ThingML extension</t>
  </si>
  <si>
    <t>2, design models - structure and behavior</t>
  </si>
  <si>
    <t>extension of ThingML code generation framework</t>
  </si>
  <si>
    <t>Python, Java</t>
  </si>
  <si>
    <t>ML model development, deployment and training</t>
  </si>
  <si>
    <t>Scikit-Learn and Keras with the TensorFlow</t>
  </si>
  <si>
    <t xml:space="preserve">automatically produce and train ML models, and deal with them. Supports full code generation </t>
  </si>
  <si>
    <t>emperical evaluation with 4 external experts and case study -  smart energy systems in smart homes</t>
  </si>
  <si>
    <t>The data are publicly available through the REFIT datasets. We use the data from House/Building 1 from this dataset, which is a single-family dwelling with two inhabitants (a couple).</t>
  </si>
  <si>
    <t>ecore, EMF, eclipse Xtext, Xtend, Java Process Builder API</t>
  </si>
  <si>
    <t>training time, accuracy, precision, recall and F1-Measure</t>
  </si>
  <si>
    <t>One key strength of this work for the SE community is expected to be that they gain access to the DAML methods and techniques out-of-the-box and can deploy them in their
software models for the IoT. , a major advantage of this work for the DAML community is assumed to be that they can become involved in large-scale IoT projects easier as they will be able to work with the abstract software models that are easier to understand, adapt and use for them. Moreover, they may introduce any desired pre-trained ML model with any arbitrary architecture, learning algorithm and technique. This shall bring them a lot of flexibility as they will not be limited to the predefined options. However, the implication for them (as well as for the SE community) is that they have to be familiar with the DSML of the modeling tool and be willing to model their desired software using this DSML.</t>
  </si>
  <si>
    <t>the major limitation is that ML methods cannot perform well if their hyperparameters are not tuned properly and/or the data that are used for training them are not prepared well. Therefore, more advanced AutoML features, e.g., concerning automated or semi-automated hyperparameter choices and tuning, as well as data preparation, e.g., for high-dimensional and non-i.i.d (independent and identically distributed) data are necessary.
First, we supported supervised and unsupervised ML, whereas semi-supervised ML in which the data are only partially labeled is also desirable and beneficial in many use cases. Second, the pre-defined ML methods can be extended, e.g, with kernel methods, such as Support Vector Machines (SVM), Probabilistic Graphical Models (PGM), as well as more advanced ANN architectures, such as Long Short-Term Memory (LSTM) for Sequence-to-Sequence and End-to-End ML models. Third, more target platforms, programming languages and libraries can be supported. For instance, a pure Java code generator that uses the Java libraries WEKA or MOA (Massive Online Analysis) for DAML can be beneficial. Similarly, a pure Python code generator that does not have to mix the Python and Java codes for the IoT service might be advantageous for certain use cases, where Java might not be desired or useful. Last but not least, more advanced AutoML functionalities, e.g., concerning data preparation, as well as automated or semi-automated hyperparameter tuning will be very useful, in particular for software developers who might be novice in the field of DAML. Further, we implemented one specific variant of the proposed approach in Sect. 4, where the DAML model may have an impact on the behavioral model of the software. However, it would be interesting to explore and realize other setups, e.g., where the DAML model might affect the structure of the software model, or even both the behavior and the structure. For instance, Pigem [11] studied how ML can be employed to learn finite-state machines. Hence, there might be some potential in adopting such approaches and integrating them with the proposed approach to make the MDSE models even more intelligent. In fact, this would mean letting them learn the behavioral model of the software, in part or completely, on their own, using the existing data, instead of having the practitioner (i.e., the user of the DSML) specify it. Finally, by enabling every thing to possess one or more DAML components, we have enabled the modeling infrastructure for deploying edge analytics and federated learning. This paves the way for future work to provide a complete solution to supporting federated ML in the proposed DSML.</t>
  </si>
  <si>
    <t>no human aspects considered, no industrial evaluation, scalability not evaluated</t>
  </si>
  <si>
    <t>addressing limitations mentioned earlier</t>
  </si>
  <si>
    <t>Motivation: Machine learning algorithms are designed to resolve unknown behaviors by extracting commonalities over massive datasets. Unfortunately, learning such global behaviors can be inaccurate and slow for systems composed of heterogeneous elements, which behave very differently, for instance as it is the case for cyber-physical systems and Internet of Things applications. Instead, to make smart decisions, such systems have to continuously refine the behavior on a per-element basis and compose these small learning units together. However, combining and composing learned behaviors from different elements is challenging and requires domain knowledge. Therefore, there is a need to structure and combine the learned behaviors and domain knowledge together in a flexible way.
Goal: In this paper we propose to weave machine learning into domain modeling. More specifically, we suggest to decompose machine learning into reusable, chainable, and independently computable small learning units, which we refer to as microlearning units. These microlearning units are modeled together with and at the same level as the domain data.</t>
  </si>
  <si>
    <t>– Decomposing and structuring complex learning tasks with reusable, chainable, and independently computable microlearning units to achieve a higher accuracy compared to coarse-grained learning.
– Seamlessly integrating behavioral models which are known at design time, behavioral models that need to be learned at runtime, and domain models in a single model expressed with one modeling language using the same modeling concepts.
– Automating the mapping between the mathematical representation expected by a specific machine learning algorithm and the domain representation [4] and independently updating microlearning units to be fast enough to be used for live learning.</t>
  </si>
  <si>
    <t>fine grained machine learning</t>
  </si>
  <si>
    <t>IoT/Cyber physical systems</t>
  </si>
  <si>
    <t>IoT/cyber physical systems</t>
  </si>
  <si>
    <t>developers, system designers</t>
  </si>
  <si>
    <t>framework, meta meta model, extension of a modelling language, code generator</t>
  </si>
  <si>
    <t>In order to weave micro-ML into domain modeling we need to extend modeling languages to model learned attributes and relations and “default” ones seamlessly together. It requires modeling languages to allow to specify in a fine-grained way what should be learned, how (algorithm, parameters, features) something should be learned, and from what (attributes, relations, learned attributes, learned relations) something should be learned.
Properties are attributes, relations, or what we call “specified properties.” Specified properties are either “learned properties” or “derived properties.” Learned properties are relations or attributes which will be learned by a specific machine learning algorithm. A concrete learning algorithm can be specified with the “specification” “using.” Parameters for the learning algorithm can be defined with the specification “parameter.” The “feature” specification allows to access properties from other metaclasses or enums.
Derived properties are similar to learned properties; however, derived properties do not have a state associated, i.e., they do not need to be trained but simply compute a value. The value of a derived attribute is calculated from the values of attributes of other metaclasses, whereas the value of a learned attribute depends on a state and past executions, i.e., on learning. Metalearning parameters</t>
  </si>
  <si>
    <t>micro learning and domain model</t>
  </si>
  <si>
    <t>new meta-meta model and modeling language based on it provided</t>
  </si>
  <si>
    <t>1, domain model with micro learning units (seems like a design model)</t>
  </si>
  <si>
    <t>Java, TypeScript</t>
  </si>
  <si>
    <t>code/micro-learning unit</t>
  </si>
  <si>
    <t>ML model development/ coding, ML model integration</t>
  </si>
  <si>
    <t>cant find any mentioned</t>
  </si>
  <si>
    <t>supports modeling domain and ML algorithms together, also supports automated code generation</t>
  </si>
  <si>
    <t>case study - smart grid</t>
  </si>
  <si>
    <t>academic. Have an industrial partner also but their data is confidential</t>
  </si>
  <si>
    <t>publicly available smart meter data from households in London</t>
  </si>
  <si>
    <t>GreyCat  is an extension and the successor of the Kevoree modeling framework KMF, Apache Velocity, IntelliJ</t>
  </si>
  <si>
    <t>accuracy, performance</t>
  </si>
  <si>
    <t>Micromachine learning for CPS/IoT can be more accurate than coarse-grained learning.
The performance is fast enough to be used for live learning. In this paper we proposed an approach to seamlessly integrate micromachine learning units into domain modeling, expressed in a single type of model, based on one modeling language. This allows to automate the mapping between the mathematical representation expected by a specific machine learning algorithm and the domain representation. We showed that by decomposing and structuring complex learning tasks with reusable, chainable, and independently computable microlearning units the accuracy compared to coarse-grained learning can be significantly improved.</t>
  </si>
  <si>
    <t>Besides simplifying the usage (flatter learning curve), a graphical language can
be more intuitive for many users, especially for nondevelopers.</t>
  </si>
  <si>
    <t>no human aspects considered, MDE approach not evaluated, only supports some ML models</t>
  </si>
  <si>
    <t>We are also working on integrating additional machine learning algorithms in our framework to make it applicable for a broader range of problems. For example, for stream clustering, we are planning to include and experiment with algorithms like cluStream, clusTree, DenStream, D-Stream, and CobWeb. In addition, we are experimenting with adding
GPU support for the computation of ML algorithms to our framework to investigate the advantages and disadvantages of it for different use cases.</t>
  </si>
  <si>
    <t>Motivation: To personalize learning on a massive scale, social bots can be used as supporting technology. However, their development for virtual learning environments currently requires deep technical knowledge. This leaves learner communities relying on highly-skilled developers to generate and tailor these social bots. Participatory design, end-user development and modeldriven principles bear the potential to close this technical gap.
Goal: a model-driven approach for creating social bots. With support for both retrieval-based bots that react to certain events in predefined ways, as well as generative bots by utilizing open source deep learning technologies.</t>
  </si>
  <si>
    <t xml:space="preserve">Using our framework, learners can create, train and utilize these for self-hosted virtual learning environments relying on OpenAPI specifications offered, e.g. by Blackboard. </t>
  </si>
  <si>
    <t>web</t>
  </si>
  <si>
    <t>social bots</t>
  </si>
  <si>
    <t>learners/ end users</t>
  </si>
  <si>
    <t>framework extension</t>
  </si>
  <si>
    <t>A VLE Instance element represents the learning environment the bot should act in. Here, the name as well as the deployment URL can be specified, with the name of the separation element of the course units being optional. VLE Users can be assigned to the VLE Instance, whereby a user can also be a Bot. The executable actions are also differentiated between Bot Actions and User Actions. A User Action refers to an action within the service and requires only the service- and function name. A Bot Action on the other hand can also send a message in a conversational channel. For this, the bot token, retrieved by the specific chat platform (e.g., Slack) has to be specified, to give the bot access to it. Both Actions can have (nested) parameters. These have a name, a type, and optionally a static value that can be specified directly or retrieved from a URL. Bot actions are initiated by a trigger, which represents the instructional rules from the Virtual Learning Environment (VLE) and can be, among other things, a VLE Routine or a User Action. A VLE Routine is a time-controlled trigger (e.g. a workday or a specific time). If no static value has been defined, the content is either taken over directly or can be manipulated using If-Then Statements or two content generators Classifier and TextToText, which are using deep learning technologies. With If-Then Statements, the retrieval-based approach is pursued, whereby content generators follow the generative approach. The latter technology requires training data for their deep learning model, which can be specified after the initialization of the bot. Fig. 1a shows the model of the social bot which we described in our use case in Sec. III. The VLE Instance holds the deployment URL of the service, while the bot is modeled as a user of the service. The User Action holds the function to create a question and requires two parameters: the corresponding learning space and the content of the question. Creating a question triggers two bot actions. The first evaluates the created question and the second sends a notification to a specified Slack channel. The rating of a question requires as parameter a score, which is defined by the classifier. The notification via Slack requires as parameters the respective channel and the content of the message</t>
  </si>
  <si>
    <t>social bot model</t>
  </si>
  <si>
    <t>SyncMeta</t>
  </si>
  <si>
    <t>1, design model</t>
  </si>
  <si>
    <t xml:space="preserve"> The management of models and the transformation of models to bots is realized by a microservice architecture backend with RESTful services that meet the OpenAPI specification.</t>
  </si>
  <si>
    <t>social bot code/application</t>
  </si>
  <si>
    <t>ML component developement</t>
  </si>
  <si>
    <t>yes, considers how training data will be sent to the DL model</t>
  </si>
  <si>
    <t>TensorFlow</t>
  </si>
  <si>
    <t xml:space="preserve">Web-based model-driven framework for creating social bots for RESTful Web applications. </t>
  </si>
  <si>
    <t>user study with 12 participants</t>
  </si>
  <si>
    <t>SyncMeta, RESTful services that meet the OpenAPI specification</t>
  </si>
  <si>
    <t>usability</t>
  </si>
  <si>
    <t>In this paper, we presented a Web-based model-driven framework for creating social bots for RESTful Web applications. These social bots utilize deep learning technologies for providing personal feedback. Our preliminary evaluation showed that end users were able to create social bots, but still need some guidance.</t>
  </si>
  <si>
    <t>The number of training units depends on the respective training set and the deep-learning technology. These steps require some kind of expertise, so for training a bot with
deep learning techniques on “newly generated” training sets, domain experts or data scientists are required.</t>
  </si>
  <si>
    <t>does not model training data or generate code for it. Unclear which DL models are supported. No human aspects considered. model to social bot transformation unclear. No industrial evaluation, scalability unclear.</t>
  </si>
  <si>
    <t>In future evaluations with different CoPs, we aim to make more accurate evaluations and collect more requirements for the system. We are currently working on equipping the framework with bi-directional communication, to enable external conversation channel discussions with the social bot. Additionally, messengers such as Discord or Rocket.Chat offer OpenAPI specifications8,9, which we will use to integrate them as conversational channels in future work. The framework should also be extended, so that the models can be exchanged beyond the own community and be available as open source. We are also planning to implement AIML import/export functionalities. The integration of systems like Moodle or Blackboard via their OpenAPI specifications is promising and will be further explored in an ongoing research project for scaling up (digital) mentoring in universities.</t>
  </si>
  <si>
    <t xml:space="preserve">Motivation: Efficient resource planning is recognized as one of the key enablers making the large-scale deployment of next-generation wireless networks available for mass usage. Modelling, planning, and software simulation tools reduce both the time needed and costs of their tuning and realization.
Goal: a model-driven framework for proactive network planning relying on synergy of deep learning and multiobjective optimization. The predictions about service demand and energy consumption are taken into account. The goal is to maximize Quality of Service (QoS) while keeping the costs and energy consumption as low as possible. </t>
  </si>
  <si>
    <t>The adoption of a model driven approach in combination with model-to-model transformations and automated code generation does not only reduce the complexity, making experimentation more rapid and convenient at the same time, but also increase the overall reusability and expandability of the planning tool. According to the obtained results, the proposed solution seems to be promising not only due to achieved benefits but also regarding the execution time, which is shorter than that achieved in our previous works, especially for larger distances.reduced cost.</t>
  </si>
  <si>
    <t>wireless communication systems</t>
  </si>
  <si>
    <t>model-driven framework, modelling language with multiple meta models, code generator, model to model transformer</t>
  </si>
  <si>
    <t>metamodels are used for the definition of representations regarding different aspects: of network planning: static base station allocation, handover strategy, prediction problem, and component allocation problem in general. The first and the second metamodels provide intuitive notations describing static and dynamic properties of wireless network plan, respectively. After that, model based representation of prediction problems. Two types of predictions are supported within the metamodel: regression (used in this paper) and classification. Each Prediction refers to a Dataset (which can be either used for testing or training) and contains some path for its file and a set of Features. Each Feature can be either an input (independent variable) or a target (the predicted value), which is important for training code generation. Moreover, for each Prediction, we can have one or more CandidateModels with different parameters: batch size, learning rate, optimizer type, and loss function. Evaluation metrics (Mean Relative Error (MRE) and Mean Absolute Error (MAE) for regression and Accuracy for classification), while the one with the highest performance metric value is returned as output. Loss function, optimizer, layer.
The fourth metamodel is used as a means for achieving interoperability with a multiobjective optimization framework.</t>
  </si>
  <si>
    <t>wireless network planning (WNP) model, component allocation problem (CAP) model, Prediction problem  (PP) model, Handover strategy (HS) model</t>
  </si>
  <si>
    <t>new DSL; WNP, CAP, PP, HS, meta models provided</t>
  </si>
  <si>
    <t>4, deployment configurations, analysis model, design model</t>
  </si>
  <si>
    <t>M2M: we developed a model transformation program that transforms mobile network planning models into new component allocation models that can be solved by the pyallocation framework. The model transformation program is in the Atlas Transformation Language (ATL) [113, 114]. Recently, ATL has become a mainstream model transformation language due to several of its features. +ese include its support of several metamodelling languages and its integration with Eclipse. M2T: automated PyTorch deep learning code generation</t>
  </si>
  <si>
    <t>models, code</t>
  </si>
  <si>
    <t>ML training, ML model development, ML model testing/evaluation</t>
  </si>
  <si>
    <t>PyTorch</t>
  </si>
  <si>
    <t>supports modeling provides abstraction, automated model transformation and code generation through a model-driven framework and model transformers</t>
  </si>
  <si>
    <t>Experiments</t>
  </si>
  <si>
    <t xml:space="preserve">PyEcore, pymoo, EMF, Ecore, Eclipse, Atlas Transformation language (ATL), OCL </t>
  </si>
  <si>
    <t>performance, Quality of service improvement, prediction time</t>
  </si>
  <si>
    <t>code generation time, model creation time, manual writing time (for code generation template), cost reduction, time reduction</t>
  </si>
  <si>
    <t>Considering the applicability of the proposed solution in practice, there are many benefits. First, the adoption of a model-driven approach reduces the learning curve for experimentation, making the software environment more user-friendly. This way, the experimenters can put more focus on the model design itself rather than spending time on mastering complex tools, which is of utmost importance for efficient large-scale network deployment plans. Thereafter, the automated code generation based on highlevel model representations significantly reduces the needed time for many manual steps, such as integration of different tools and creation of predictive modules for different purposes, without going into details of neural networks and corresponding frameworks for their implementation. Additionally, the proposed software environment also covers the planning of performance-aware runtime adaptive behavior using simple notation, apart from static configuration. Therefore, our framework provides the necessary tools that enable rapid prototyping of large-scale next-generation wireless network deployments, aiming at telco operators and other researchers in this area, taking into account cost-efficiency, performance, and dynamic behavior under given conditions, at the same time. From an end-user perspective, the experimentation costs in both time and money for network deployments are reduced significantly, which is highly beneficial. Moreover, the architecture of the presented network planning is futureproof, as each backend component (fading calculation, prediction, and optimization) can be swapped with the newer one independently, providing the appropriate code generators and/or model-to-model transformations. Finally, our implementation leverages GPU for fading-related calculations and deep learning-based predictions, which obviously speeds-up processing compared to traditional CPU-only programs.
such an approach not only increases the overall expandability of a network planning tool with the ability to include new predictive modules conveniently but also gives the ability to generate them in a shorter time. Based on the obtained values, it is observed that the speed-up increases for more complex neural network architectures. Furthermore, when it comes to multiple model candidate instances, the speed-up is even more significant, as additional time is needed for manual parameter tuning and experimentation. In the case of the 5 candidate models, the maximum achieved speed-up was around 25 times.</t>
  </si>
  <si>
    <t xml:space="preserve">the processing time increases with model size for all the steps, as expected, additional time is needed for model-to-model transformation, </t>
  </si>
  <si>
    <t>No human aspects, unclear list of DL models supported, no usability study</t>
  </si>
  <si>
    <t xml:space="preserve">In future work, we plan to extend the presented work, considering the aspects of security in next-generation wireless systems. Adoption of deep learning in the context of anomaly and attack detection will be explored. Moreover, the elements of adaptability and reconfigurability in realtime would be covered in-depth, such as handover strategies execution leveraging software-defined radio (SDR) command generation as a response to the events detected using deep learning. At last, the aspects related to the selection of the most suitable solution among the several outputs of a multiobjective optimization algorithm for a given planning scenario would be included. </t>
  </si>
  <si>
    <t>Motivation:The Deep Learning process is long and tedious, with many parameters and code versions and other features to keep track of. Therefore, we need tools for Deep Learning lifecycle data management (DL LDM) to streamline the process, allowing to focus on the project, not how to remember what combination of features gave which results. There are many tools available that attempt to solve this problem but fall into one of two pitfalls – they are either missing vital functionality or grow incomprehensibly complex when trying to fit all use cases.
Goal: development of DSL tool building technology for the DL LDM field.</t>
  </si>
  <si>
    <t>an approach on how to build an easily extendable DL Lifecycle Data Management system. The LDM Core System satisfies communication between workstations and the data server through the LDM Core Library, then the LDM Core Tool stores data on the data server, as well as allows web access to browse and visualise the data.</t>
  </si>
  <si>
    <t>Web + desktop</t>
  </si>
  <si>
    <t>ML engineer</t>
  </si>
  <si>
    <t>modelling language, LDM Core System (LDM Core Tool (a simple data logging tool) and LDM Core Library together),  LDM Core System extension definition method and extension building framework, DL data visualisation, model transformer/serializer</t>
  </si>
  <si>
    <t>Core Logical Metamodel (Core LMM) - data is organised by Projects, each of which can have multiple ProjectFiles (e.g. training data, testing data, validation data) and Runs. Each Run can have its own RunFiles and LoggedMessages (the ones sent by the DL program execution with the commands Log and UploadFile) e.g. accuracy, lossPair, runType . 
For extension of Core LDM tool - The main idea of metamodel specialisation is that we first define the Universal Metamodel (UMM) for a domain and then for each use case in this domain define a Specialised Metamodel (SMM). The SMM contains a set of subclasses of the UMM classes, however many we need.
UMM - The Project and Run classes have new Tab classes associated with them (more precisely, when accounting for the cardinalities, every Project and Run instance can have multiple Tab instances associated with it). Every Tab then is associated with an Extension Program, the parameters of which can be files that are either Project Files or Run Files.
SMM (specialised for LDM Core Tool Extension) -  besides the Core LMM concepts in yellow, also includes the additional Run Tab titled TestGoldSilverView, together with its extension program and parameters.</t>
  </si>
  <si>
    <t>Lifecycle data management (LDM) core model, Universal model, specialised model (for LDM Core Tool Extension)</t>
  </si>
  <si>
    <t>new DSL; Core LDM, UMM, SMM - meta models provided</t>
  </si>
  <si>
    <t>3, data management models</t>
  </si>
  <si>
    <t>serialise the metamodel, which we can do by using JSON. This then is a JSON file which should be uploaded on the configuration page as the Extension Definition</t>
  </si>
  <si>
    <t>JSON</t>
  </si>
  <si>
    <t>serialised meta-models, Data visualisations e.g. images classified correct and wrong</t>
  </si>
  <si>
    <t>ML data management, data visualisation</t>
  </si>
  <si>
    <t>Supports the modeling and extension of ML data management tools as a black box. Also generates visualizations</t>
  </si>
  <si>
    <t xml:space="preserve">In this paper we propose an approach to extending the LDM Core Tool – we now regard the tool as a complete black box (no longer minding its implementation and data structure), instead we ask for the black box to understand the extension language that we will propose later in this paper. This way the black box is made “wiser” and as a result serves as an extension building framework named LDM Core Tool Plus </t>
  </si>
  <si>
    <t>no evaluation, no human aspects considered, approach is complicated and difficult to understand, only supports very basic visualisation of data, unclear if code generation is supported</t>
  </si>
  <si>
    <t>Applying Machine Learning and ModelDriven Approach for the Identification and Diagnosis Of Covid-19</t>
  </si>
  <si>
    <t>Motivation: Several fields are increasingly moving towards the adoption of ubiquitous, technology-dependent applications. They consider the context as a target to provide personalised services. The proposed context models are very numerous and diverse. They must ensure efficient, rapid management of contextual COVID-19-Tracer and events, which is rarely the case. These models evolve with the technologies offered on the market. Thus, a new vision is needed to minimize these technological dependencies. This requires the use of engineering approaches and the use of high-level generic models supported by meta-models that facilitate the design of applications and allow the support of all ubiquitous features.
Goal:a smart tooled process based on an Model Driven Architecture approach for the design of ubiquitous applications taking into account context information in order to deliver high-added value services.</t>
  </si>
  <si>
    <t xml:space="preserve">we empower users to create their own representations of their future ubiquitous applications through a modeling language and graphical modeling tool. The Java graphical modeling tool with a drag-drop palette have been provided to allow modeling and visualization of simple and complex ubiquitous scenarios. The proposed graphical model makes it possible to model Android applications, then generate the corresponding code. </t>
  </si>
  <si>
    <t>machine learing</t>
  </si>
  <si>
    <t>mobile applications (Android)</t>
  </si>
  <si>
    <t>Ubiquitous applications using ML</t>
  </si>
  <si>
    <t>developer</t>
  </si>
  <si>
    <t>framework for the design of ubiquitous applications, modeling language, model to model transformer, code generator, graphical modeling tool, OCL constraints</t>
  </si>
  <si>
    <t>Context model, also has environment, services, customer and more
The element (System): It can contain other systems thanks to the “OwnedSystem” relationship. ContexteEntity: It is the central class of this metamodel. It represents entities identified by the relationship “ItsEntity” to the system. A contextual entity is a concrete representation of a
real-world object deemed relevant to describing a domain. It can be composed of other entities through the “OwnedEntity” relationship.
The operation of ubiquitous applications requires the collection of all relevant context information from various sources. There are two categories of context:
• Atomic Context: It represents low-level contextual information that is not linked to another context, and it can be obtained by: Physical sensors (GPS, Wi-Fi, Bluetooth, NFC), Virtual sensors (web services), Social sensors Flickr service. Microblogging (Twitter).
• Composite Context: It represents high-level contextual information; it consists of multiple contexts. It can be obtained by: Logical Sensor.
• Context Source: It represents the resources from which contextual information is retrieved. It makes it possible to link the contextual elements to their sources to identify the method used For the acquisition of the contextual data. The acquisition of this data can be: static, profiled, sensing, derived from other data (derived), or learned.
ContextObservable: They describe the data collected by the sensors. It contains “Value” as a value of a simple type (Integer, Long, Float, String, or Boolean) measured by the sensor. Observable contextual information can be either atomic or composite. The acquisition of the contextual information can have a temporal constraint, which can be either an absolute interval or an expiry date expressed in this metamodel by the “Constraint” metaclass.
• ObservationMode: A sensor’s role is to take measurements and then send the data to its customer(s) or allow its customer(s) to come and retrieve it. The obtaining of the data can be done according to the observation mode (“ObservationMode”) By notification (“Notify” or “Push”), it is the sensor that sends the data each time this information changes to notify the interested entities.
• NotificationEvent: The “Notify” mode is divided into three modes: “SimpleNotify”, “PeriodicNotify”, and “ConditionalNotify”.
• ContextProperty: It describes the properties of the ContextEntity class. Each ContextProperty is described by its name and type.
• ContextRepository: Applications can use not only the actual context but also the perceived context to adapt their behavior to better interact with users. Thus, we store contexts continuously, as they occur, in a database.
• ContextAssociation: It is used to describe the relationship between two entities or the relationship between the context entity and its properties. Each association is described by a name.
• CAMechanism: To consider the uncertainty of ubiquitous environments, this part allows the modeling of adaptation actions according to context, and all these actions are represented by the CAMechanism class. We decided to introduce techniques based on supervised learning:
• ContextMachineLearning: We propose a meta-model that collects the machine learning process’s common entities. It includes a set of techniques based on supervised learning and actions to be predicted and respectively represented by the classes “Supervised_ML_Algorithm” and “Action_Prediction” in the meta-model.
• MachineLearning: This class uses supervised and unsupervised learning algorithms to train models. Then, the results of each algorithm are evaluated to determine the accuracy. In the end, it selects the appropriate prediction model.
• Inputs: Are a collection of data that machine learning algorithms use to train the model.
• Outputs: Are a collection of data predicted by the trained model.
• Scores: To check the accuracy of learning and inference, evaluation measures (scores) are needed. The accuracy of machine learning models must be evaluated to select the best performing model for prediction.
• Prediction Action: The result of the prediction is returned for decision-making. Our meta-model can also be extended by integrating the confidentiality and privacy aspects of the context source entity. Indeed, the collection of a person’s contextual data (e.g., his location) must be done with the agreement of the person in question and therefore according to his preferences.
• Contexte Security: The extended meta-model consists of modeling access control and privacy policies embedded in a model-driven software development process. The meta-model is based on the ABAC and RBAC models without considering roles as user attributes (see Figure 7). Our model considers the contextual attributes of the Entity Costumer and the system resources that may be accessed.</t>
  </si>
  <si>
    <t>Visual</t>
  </si>
  <si>
    <t xml:space="preserve">context model </t>
  </si>
  <si>
    <t>new DSVL; 3ML4UA (for Meta Model Machine Learning for Ubiquitous Application); meta model provided</t>
  </si>
  <si>
    <t>1, design models</t>
  </si>
  <si>
    <t>M2T</t>
  </si>
  <si>
    <t xml:space="preserve">To do this, we rely on Acceleo to performan automatic generation from high-level modeling. To implement the code generator, the Model-to-Text transformation (M2T) is applied to generate the
source code of an application that can be run on an Android device. </t>
  </si>
  <si>
    <t>Java and XML</t>
  </si>
  <si>
    <t>ML context (inputs, outputs, algorithm, score)</t>
  </si>
  <si>
    <t>Unclear if training data is modeled and code from it is generated</t>
  </si>
  <si>
    <t>model-driven approach to design ubiquitous applications with ML for androids.</t>
  </si>
  <si>
    <t>case study - covid contact tracer + experiments</t>
  </si>
  <si>
    <t>A dataset of confirmed COVID-19 cases from the Public Health France, (Sante publique France,
2021) repository</t>
  </si>
  <si>
    <t xml:space="preserve">Eclipse, EMF, Sirius, Xtext, Acceleo, </t>
  </si>
  <si>
    <t>confusion matrix, accuracy and f-measure, precision, recall</t>
  </si>
  <si>
    <t>The complexity of designing ubiquitous systems is increasing in parallel with the ever-increasing user needs. In this context, Model Driven Engineering (MDE ) stands out as a response to this challenge. This paper proposes the use of a model-driven approach to design ubiquitous applications. Our approach is implemented in a Framework and graphical modeling tool. This editor has been designed for PIM models using the Eclipse Sirius tool, this editor is based on our meta-model and facilitates the specification of PIM models in a fully graphical way knowing that the collected measurement data will be used as training data. 
Currently we are working on the choice of techniques based on unsupervised and supervised learning. Also we define the model-to-text transformation (M2T) rules with Acceleo on the example of a Covid-19 Contact-Tracer news application. This makes it possible to set up very rich application scenarios involving a large number of contextual objects.</t>
  </si>
  <si>
    <t>unclear which ML models are supported, unclear if training data modeled or code for it generated. scalability unclear. no industrial case study. Too much information in a single model- difficult to understand</t>
  </si>
  <si>
    <t>In order to complete our approach, we are working on the definition of a textual DSL, the objective is to provide a hybrid concrete syntax: a graphic part and a textual part. We will extend our approach to take into consideration the generation of cross-platform applications (Windows Phone 8, iOS).</t>
  </si>
  <si>
    <t>Motivation: Machine learning is one of the most important subfields of computer science and can be used to solve a variety of interesting artificial intelligence problems. There are different languages, framework and tools to define the data needed to solve machine learning-based problems. However, there is a great number of very diverse alternatives which makes it difficult the intercommunication, portability and re-usability of the definitions, designs or algorithms that any developer may create.
Goal: a language and a development environment independent of the underlying technologies, allowing developers to design solutions to solve machine learning-based problems in a simple and fast way, automatically generating code for other technologies. That can be considered a transparent bridge among current technologies. We rely on Model-Driven Engineering approach, focusing on the creation of models to abstract the definition of artifacts from the underlying technologies.</t>
  </si>
  <si>
    <t>a standard-based platform for defining and abstracting machine learning-based solutions in a simple and common way. The idea of this approach is to generate from a model, easily and automatically, the code for different architectures or platforms (it would only be necessary to add new templates).</t>
  </si>
  <si>
    <t>Feedforward artificial neural network</t>
  </si>
  <si>
    <t>artificial neural network applications</t>
  </si>
  <si>
    <t>developers and non-expert programmers</t>
  </si>
  <si>
    <t>modeling language, development environment (IDE), code generator</t>
  </si>
  <si>
    <t>With this grammar, neural networks can be created indicating information about the input, the hidden and the output layers (e.g., number of neurons, presence of bias neurons and the activation mode). Activation functions are attached to layers and are needed to scale data output from a layer. There are different activation functions available (users can select among different functions depending on the case: bipolar, competitive, hyperbolic tangent, linear, log, sigmoid or softmax). Depending on the selection, network behavior will be different. As we focus on supervised learning, we define the way users can introduce training data with inputs and expected outputs and the algorithm used for training the system (Back propagation, Quick propagation, Levenberg Marquardt, Manhattan update rule, Resilent propagation or Scaled conjugated gradient), also depending on each particular problem.</t>
  </si>
  <si>
    <t>AiDSL model</t>
  </si>
  <si>
    <t>new DSL; AiDSL, meta model provided</t>
  </si>
  <si>
    <t>1, NN design model with training details</t>
  </si>
  <si>
    <t>using mappings defined in Encog framework</t>
  </si>
  <si>
    <t>Java, C# (assumed from Encog ML framework)</t>
  </si>
  <si>
    <t>neural network design, model training design</t>
  </si>
  <si>
    <t>Yes, generates code for training/ dataset loading, Yes, models training process/design</t>
  </si>
  <si>
    <t>Encog machine learning framework</t>
  </si>
  <si>
    <t xml:space="preserve">model the ML component and automatically generate code from it. Supports abstraction and automation </t>
  </si>
  <si>
    <t>qualitative and quantitative study to show the characteristics of AiIDE and AiDSL, justifying the design and the need for its creation</t>
  </si>
  <si>
    <t>Xtext, Xtend language, Eclipse, Encog, EMF, ANTLR</t>
  </si>
  <si>
    <t>Code lines: it refers to the number of lines of information needed to define the neural networks in each case.</t>
  </si>
  <si>
    <t>Code lines: it refers to the number of lines of information needed to define the neural networks in each case. • Words: number of words used. • Characters: number of characters, spaces included</t>
  </si>
  <si>
    <t>In this paper we have presented the first version of a language for defining neural networks (AiDSL) and a development environment to facilitate working with those networks (AiIDE). This has been done by identifying basic elements that are useful to define the important aspect of any artificial neural network. In addition, we have defined mappings for transforming models made with AiDSL to the code that should be used if we worked with the Encog framework instead, and created the basis to do the same with other different popular frameworks (e.g., Weka), which favors the development and increases productivity and interoperability among systems. Finally, it the use of AiDSL through the AiIDE is easier than the manual and specific handling of other frameworks with identical purposes.</t>
  </si>
  <si>
    <t>both AiDSL and AiIDE are prototypes with limited scope and popular frameworks such
as Encog or Weka offer many more features.</t>
  </si>
  <si>
    <t>code generation is unclear, hyper-parameters not defined clearly, does not link ML solution with non-ML components. No human aspects considered. Unclear is approach is scalable, no industrial application no user study</t>
  </si>
  <si>
    <t>Future work will be to improve and adapt both AiIDE and AiDSL with new frameworks and features to define neural networks. Finally, we will perform a usability study with real users for quantifying how simple, easy and intuitive is our proposal for them. The idea is to work with people with different profiles and ask them to define several neural networks using different techniques. That way, we will observe, among other things, the efficiency, the learning curve and the number of errors that are performed during the tasks.</t>
  </si>
  <si>
    <t xml:space="preserve">Motivation: Biologically inspired complex systems (e.g. artificial neural networks, genetic algorithms, multi agent systems etc.) are increasing. As the abstractions presented by biologically inspired systems, systems architects will be required to include the abstractions in their architecture in order to communicate the design to system implementers. The paper argues that in order to correctly present the architectures of bio inspired system a need of bio inspired views will be required. 
Goal:  The paper describes a new formalism based on biology and Model Driven Architecture (MDA) in order to find a new and easy way to design and understand (reverse engineering) a complex bio inspired system. The paper also describes then a set of bio inspired views which are used when describing bio inspired system. </t>
  </si>
  <si>
    <t>a new additional manner for describing bio inspired system based on MDA and biology.</t>
  </si>
  <si>
    <t>artificial neural networks</t>
  </si>
  <si>
    <t>Bio-inspired systems (systems built using ANNs, genetic algoritms, multi-agents etc)</t>
  </si>
  <si>
    <t>software system architects/designers</t>
  </si>
  <si>
    <t>framework, model transformation design, modeling language</t>
  </si>
  <si>
    <t>Only information for the ANN model mentioned below: 
System: class system define our system and it’s the evolution of the network through the change incur in layer, neural and link class. We need to use singleton pattern to represent system because they are one instance of object system.
Network: define the features of the network like number of layer , the network evolve according neural and link changes (adjustment process).
Layer: define the characteristic of each layer of the network like number of neural, number of links, type of layer: input, output, hidden.
Neural: define the feature of neural like bias 
Link: define the characteristic of link like weight 
The Network class evolves from initial state to final state crossing transitional state according the adjust transformation and interpret transformation, the iteration transformation make refinement.</t>
  </si>
  <si>
    <t>generic ANN model</t>
  </si>
  <si>
    <t>new DSL; meta models provided</t>
  </si>
  <si>
    <t xml:space="preserve">1, system design </t>
  </si>
  <si>
    <t>model</t>
  </si>
  <si>
    <t>neural network design</t>
  </si>
  <si>
    <t xml:space="preserve">Supports the modeling and transformation of ANN modeled as a software model. The transformations that we propose consist of a set of deals that will be applied to source model of ANN ie (level M1)  to achieve target model (in our state, the source model and target model belong to the same meta-model ie level M2). </t>
  </si>
  <si>
    <t>case study - XOR ANN</t>
  </si>
  <si>
    <t>only designs ANN</t>
  </si>
  <si>
    <t xml:space="preserve">Eclipse Kernel Metametamodel (KM3), ATL </t>
  </si>
  <si>
    <t xml:space="preserve">The paper highlights the need for a new formalism and mechanisms to describe bio inspired systems. The paper argues that the need of biological inspired point view is the best opportunity to describe bio inspired systems. The benefit of using biologically inspired view is, for example, to cover the lack of naturalness. In other words, while some biological mechanisms are being intensively used, it seems difficult to maintain a correspondence between the designed systems and their counterparts in the nature. Even if this has no effect on the system effectiveness, it can be a helpful quality in its comprehension. For example, when using an evolutionary process within a robot, it is not obvious to identify what is the individual and what is the species. The robot is what corresponds, at first glance, to an individual, but, within one individual, phylogeny is meaningless.
The paper shows the contribution of Model Driven Architecture to the bio inspired systems modelling. For example the models provide an advantage for artificial neural to have a flexible (adaptable) behaviour. We hope with the combination of MDA and bio inspired views to make the development of complex bio inspired system an easier task
</t>
  </si>
  <si>
    <t>very poorly written, transformations unclear, evaluation is vague, paper is confusing, motivation for transformations unclear. no human aspects. Claims to perform reverse engineering but couldn't find any such information</t>
  </si>
  <si>
    <t xml:space="preserve">Motivation: Model driven development was exploited in the context of agent-based development in a limited way, and most of the existing proposals demonstrated the effectiveness of using MDD in this context by argumentation or examples, lacking disciplined empirical analyses. 
Goal:In this paper, we explore the use of MDD for agent-based modeling and simulation in the adaptive traffic signal control (ATSC) domain, in which autonomous agents are in charge of managing traffic light indicators to optimize traffic flow. We propose an MDD approach, composed of a modeling language and model-to-code transformations for producing runnable simulations automatically. </t>
  </si>
  <si>
    <t>exploring the use of MDD in the context of Agent Based Modeling and Simulation and empirically assessing the benefits it provides. Also considering Sophisticated agent features which are recurrent in agent-based simulations, such as adaptation or learning. Our approach reduces the workload to develop agent-based simulations in the ATSC domain</t>
  </si>
  <si>
    <t>agent based simulation platform</t>
  </si>
  <si>
    <t>agent based applications</t>
  </si>
  <si>
    <t>developers of agent-based systems</t>
  </si>
  <si>
    <t>an MDD approach, a modeling language and model-to-code transformations/code generator</t>
  </si>
  <si>
    <t xml:space="preserve">The basic elements of the metamodel are agent, entity, and attribute. An entity represents any object existing in a simulation (such as lanes and intersections) that has attributes. An agent is a particular kind of entity that has agent capabilities. an agent that has a flow control capability for regulating the flow of a set of streams. Consequently, it has a set of flow regulators to manage the known streams. These regulators can be seen as actuators of the agent. 
A decision capability represents a decision policy. Such a policy describes how to choose one amongst many available decision options. The set of available decision options can be either static or dynamic. Static options are those specified during the model design. Any value is considered a static option. As previously shown in Fig. 3, actuators, actuator states, and activations are specializations of value and thus can be decision options. Decision capabilities can also be decision options for another decision capability. In such cases, the id of the decision capability is used for further reference. Dynamic options exist only during the simulation execution. Therefore, we assume that these options are stored in agent attributes (e.g., a perception attribute).  From the domain analysis, we identified three types of decision capabilities: state machines, adaptation, and learning. A state machine represents a fixed decision policy. An adaptation capability represents an adaptive decision policy. There is an adaptation criterion that describes which decision option should be selected among those available—the one that meets the criterion. Such a criterion acts as a fitness or utility function and is therefore specified as an expression. 
A learning capability allows an agent to learn a decision policy. We consider a reinforcement learning6 capability, with which agents learn through experience. As agents act on the environment, they receive a reward signal based on the out- comes of previous states and actions. State definition, reward, learning parameters, technique also modeled. 
States are represented by a learning state definition6, which use expressions to describe the tuple of elements that characterize a state. The concrete states are created during the simulation execution, from a cartesian product of this tuple of elements. Actions are represented by the decision options that are related to the decision capability. Finally, the reward signal is specified as an expression. As illustration, Fig. 4 also includes the abstraction of these
learning concepts into a learning element. The reasoning of TSC agents is based on reinforcement learning, more specifically on the Q-Learning technique
and more concepts in the model.
</t>
  </si>
  <si>
    <t>agent-based modeling and simulation model</t>
  </si>
  <si>
    <t>new DSL; DSL4ABMS - meta model provided</t>
  </si>
  <si>
    <t>1, system design model with information to setup and execute simulation</t>
  </si>
  <si>
    <t>we specified model-to-code transformations to generate code for NetLogo, a popular agent-based simulation platform. Model-to-code transformations are performed through the use of production rules, which transform instantiated concepts of our metamodel to NetLogo code statements and blocks according to the code template previously presented. We recall that this template is platform-neutral, and thus can be used to guide the development of transforma- tions that generate code for other simulation platforms. In our MDD approach, production rules were specified and documented using the Xpand template language. Each Xpand template describes source code that is generated for its corresponding metamodel element.</t>
  </si>
  <si>
    <t>NetLogo code</t>
  </si>
  <si>
    <t>reinforcement learning plan/component development</t>
  </si>
  <si>
    <t>none mentioned</t>
  </si>
  <si>
    <t>modeling language, framework and automated code generation for agent based simulation and modeling of agents using reinforcement learning</t>
  </si>
  <si>
    <t>case study - adaptive traffic signal control</t>
  </si>
  <si>
    <t>Netlogo, Xpand template language, Eclipse EMF ECore, ABStractme</t>
  </si>
  <si>
    <t>effort, lines of code ; effectiveness of our MDD approach for reducing the development effort and thus for increasing productivity in ABMS</t>
  </si>
  <si>
    <t>we explored the use of this approach in the ABMS context, in the adaptive traffic signal control domain. Narrowing the domain is important because in MDD there is a trade-off between generality and expressiveness. As result, we provided a metamodel and domain-specific modeling language, in addition to code generation for agent-based simulations in this investigated domain. The work is grounded on a domain analysis performed in a disciplined way, using existing agent-based simulations. Steps of our domain analysis allowed us to identify the concepts added to our metamodel, such as the flow regulator agent and decision capabilities. Nevertheless, these concepts are present in other similar domains, and can be potentially reused. Examples of such domains are the distribution of provisions to relief centers in a disaster simulation, or the regulation of the throughput of links in a data network. Further studies must be performed to validate this. Our evaluation showed that the design and implementation effort—measured in terms of size—required to develop simu- lation models using our domain-specific language is 60–86% lower than models created using existing simulation platforms. The number of lines of code and model elements, which are size metrics, have been used to evaluate the reduction of effort provided by MDD approaches. Given that our language metamodel was built through a domain analysis activity that considered existing agent-based simulations, these results also provide evidence that the steps of the conducted domain analysis are effective and can po- tentially be used to identify and abstract concepts in other domains. This leads to a derived bottom-up domain analysis method, with which it is possible to identify concepts that are recurrent in agent-based simulations in other domains and provide ready-to-use building blocks for them</t>
  </si>
  <si>
    <t>mentioned in future challenges section ahead</t>
  </si>
  <si>
    <t>no industrial evaluation, no human aspects considered</t>
  </si>
  <si>
    <t>Our long-term goal is to use MDD to allow people with little or no ABMS expertise to build agent-based simulations. Further work must be conducted towards this goal. First, experiments with humans must be conducted in order to evaluate subjective aspects, such as usability and comprehensibility. Moreover, specifically in our domain, other simulation techniques and aspects, left out of the scope such as alternative learning models and communication, should be incorporated to our metamodel.</t>
  </si>
  <si>
    <t xml:space="preserve">Motivation: The design of gas turbines is a challenging area of cyber-physical systems where complex model-based simulations across multiple disciplines (e.g., performance, aerothermal) drive the design process. As a result, a continuously increasing amount
of data is derived during system design. Finding new insights in such data by exploiting various machine learning (ML) techniques is a promising industrial trend since better predictions based on real data result in substantial product quality improvements and cost reduction. 
Goal: This paper presents a method that generates data from multi-paradigm simulation tools, develops and trains ML models for prediction, and deploys such prediction models into an active control system operating at runtime with limited computational power. We explore the replacement of existing traditional prediction modules with ML counterparts with different architectures. </t>
  </si>
  <si>
    <t xml:space="preserve">1. Improved predictions: ML-based prediction modules have demonstrated improvement upon existing traditional prediction modules wrt. pre-defined metrics. For example, mean absolute error was reduced by up to 60x by using ML-based predictions (see Sect. 8).
2. Process time saving: The process of automating data generation and component creation periodically saves 20+ engineering days. As this is a repeatedly recurring process, it translates into significant cost reduction.
3. Versioning: Due to savings in process time, if engineering models are updated, new, improved, versions of prediction modules can be deployed.
4. Improved control software: Thanks to automated code generation, the process of writing, debugging, and testing prediction modules is significantly simplified, simultaneously improving product quality and decreasing costs.
5. Multi-platform support: Code generation enables a single ML model artifact to be deployed to multiple production platforms (e.g., different-vendor PLCs).
</t>
  </si>
  <si>
    <t>machine learning particularly supervised ML</t>
  </si>
  <si>
    <t>developers + deployment team</t>
  </si>
  <si>
    <t>code generator, ML-based load prediction architectures, deployment framework/MDE approach for automatically generating code and deploying ML models on control systems, data generation from simulations</t>
  </si>
  <si>
    <t xml:space="preserve">list of layers (feed forward neural networks can only receive inputs from previous layers). For each layer in the model, the following attributes are maintained:
Name: The given name for a layer will be used to refer to layer computations in the generated PLC code.
Activation function: The generated PLC code will call appropriate activation function instructions, which is assumed to be identical within a layer. If multiple activation functions are desired in a layer, the layer can be split into two parallel layers.
Size: Number of neurons in the layer.
Input size: Number of inputs for each neuron.
Input layers: List of references to layers which serve as input to the layer.
Weights: Weights for each connection from neurons in the input layers to the neurons in the layer.
Bias: Biases for each neuron in the layer.
Each ML model is tagged with a model type, version number, author, date, training set data id, test set id, and model metric scores. </t>
  </si>
  <si>
    <t>neural network ML model</t>
  </si>
  <si>
    <t>1, neural network design</t>
  </si>
  <si>
    <t>The predictor (neural network) is saved in a customized JSON format which includes the model type, connections, and weights within the network. The predictor is provided to the Code Generator module which contains a Source Code Generator and Configuration Generator. The former creates PLC source code for the runtime predictor including instructions for activation functions and proper execution order of instructions. The latter packages this source code together as well as generates the configuration requirements such as data structures, and metadata such as versioning. Using these configurations and source code, the predictor is uploaded onto the PLC as a routine.</t>
  </si>
  <si>
    <t>PLC code, language not mentioned</t>
  </si>
  <si>
    <t>code and configurations</t>
  </si>
  <si>
    <t xml:space="preserve">ML model deployment, integration into PLC hardware, ML model maintenance (update, replace etc) </t>
  </si>
  <si>
    <t>tensorflow</t>
  </si>
  <si>
    <t>MDE principles for automated deployment of ML algorithms. we develop a code generator for machine learning in off-the-shelf, low-level PLCs, where hardware limitations imposed by industrial environment precludes porting standard frameworks or libraries.</t>
  </si>
  <si>
    <t>yes, bias</t>
  </si>
  <si>
    <t>experiments - siemens engines</t>
  </si>
  <si>
    <t>can't say</t>
  </si>
  <si>
    <t>effectiveness - load prediction error, mean absolute error, Root Mean Square Error</t>
  </si>
  <si>
    <t>automation - engineering workdays</t>
  </si>
  <si>
    <t>In this paper, we aim to exploit ML techniques to enhance the precision and automate the development and deployment of runtime prediction programs. For this purpose, we propose a novel family of predictors-on-chip by (1) training various ML models using design-time simulation data and then (2) automatically deploying the trained ML models to the production environment by automated code generation. Design-time physical simulations (and potentially existing field data) provide high-quality data for the training of a ML model, and the trained model is deployed without further alterations to the runtime system to reduce (software) engineering efforts.</t>
  </si>
  <si>
    <t>Scalability of approach unclear, code generation process unclear/ meta tools not mentions</t>
  </si>
  <si>
    <t>Further studies, especially in other CPS domains, would help validate opportunities of automated code generation for deployment of ML in existing systems. This would provide other unique case studies with different data sets and hardware platforms which would greatly decrease existing threats to external validity. We believe researching methods which improve compositionality for prediction components would be highly beneficial to the industry at large.</t>
  </si>
  <si>
    <t>Motivation: the developer of a data analysis pipeline must have broad programming skills in addition to the domain-specific knowledge. Of course developers can draw on a large number of open source algorithms and functions, but integrating these poses an additional major challenge. This is because the composition of various functions combined from different sources requires overarching compatibility. However, since this is usually not the case, the individual functions must be subsequently analyzed and adapted, which represents an enormous effort. In addition, there is a different mindset between domain experts of applied data science and programmers. Programmers think in imperative and control flow-driven processes whereas data-pipelines are modeled conceptually data flow-driven. With the increasing use of web-based development and execution environments such as Jupyter, Gitpod and Eclipse Che, it is now possible to simplify the concept of ETI and Taverna by bypassing the central service repository.
Goal: web-based modeling environment Pyrus, presented enables direct discovery and execution of the available services and functions within an online IDE without the detour via a central repository. By integrating an online development environment like Jupyter via API, Pyrus can automatically discover the functions available there and make them available to a user for composition within the process modeling environment. The created composition process of Pyrus can then be compiled and delegated to the connected runtime environment for execution via the same API. For modeling, Pyrus provides a graphical DSL for dataflow-driven processes with a linear type system, following the Language Driven Engineering (LDE) paradigm by aiming at bridging the semantic gap for the user.</t>
  </si>
  <si>
    <t>Pyrus integrates established online IDEs like Jupyter and allows users to graphically combine available functional components to dataflow-oriented workflows in a collaborative fashion without writing a single line of code. Following a control flow/dataflow conversion and compilation, the execution is then delegated to the underlying platforms. Both the inputs to a modeled workflow and the results of its execution can be specified and viewed without leaving Pyrus which supports a seamless cooperation between data science experts and programmers.
we illustrate the integration by the example of a Jupyter IDE to show the advantages for the domain of data analysis. This gives domain experts from the applied data science environment the opportunity to concentrate on the composition and concrete parameterisation of the individual functions without the hurdle of manual implementation. This clear separation between “how” and “what” is in line with the principles of Separation-of-Concern (SoC), the One-Thing-Approach (OTA) and Service-Orientation by creating a userspecific intuitive environment. In turn, programmers are able to simultaneously tweak and change the implementation without the need for manual interface synchronization or mutual obstruction. In addition, Pyrus provides a dataflowdriven process language to support the user of the applied data-science domain as intuitively as possible.
Pyrus tool which addresses three challenges:
– Duality: For optimal support, users should be able to work in their preferred domain. Accordingly, data analysis modelers and programmers should each use tailored environments. In this way, both can benefit simultaneously from each other in parallel.
– Interoperability: Established online development environments such as Jupyter have to be instrumented without detours in order to be able to compose and execute the functions and existing libraries implemented there.
– Accessibility: Users should be able to work from anywhere and platform independently without the need for installation or special system resources.</t>
  </si>
  <si>
    <t xml:space="preserve">web-based development and execution environments </t>
  </si>
  <si>
    <t>data analytics applications</t>
  </si>
  <si>
    <t xml:space="preserve">data analysts and domain experts </t>
  </si>
  <si>
    <t>IDE, modeling language, tool, type checking system for model validation</t>
  </si>
  <si>
    <t>function interface storage (FIS)
For the implementation of the dataflow-driven process language and the function interface storage, two meta-models are created which are shown in Fig. 2. The meta-model of the function interface storage shows in which form the determined functions of an external IDE are represented in Pyrus. Each function is identified by a fully qualified name (FQN), which specifies how the actual function can be called. The FQN consist of the file path inside the external IDE as well as the name of the function. The signature of a function is determined by the input and output parameters. Each parameter is named and associated with a named
type.
Process
The Process metamodel describes the abstract syntax of the dataflow-process DSL, which includes the enclosing Process graphmodel type. As a specialization of the graphmodel meta-type, it describes the root element of a graphical DSL in the context of CINCO. From the end user’s point of view, the Process can be edited via canvas in which the other node types, edge types and container types described in the metamodel can be instantiated. Which node and container types can be created within the graphmodel is described by the solid edge representing the embedding constraints. The cardinalities at the end of the edge indicate the minimum and maximum number of instances of a specific type.
Function
To represent function interfaces recorded in the IFS, the Function container type is defined, which holds a reference to a Function Interface in the FIS. In the context of CINCO, the so-called prime references are defined as not nullable association, so that a Function can only exist in a Process as long as the referenced Function Interface exists. As shown in the metamodel (see Fig. 2), a Function container can contain the nodes InputPort and OutputPort. Both node types are used to map the input and output parameters of the referenced Function Interface. The dotted line defines that an edge can be drawn from an
OutputPort to an InputPort, which describes the dataflow. The cardinality at
the beginning of the dotted edge defines that at least one edge must be drawn
from the OutputPort. In contrast, the cardinality at the InputPort node type
limits the number of incoming edges to exactly one.
Constant
For the declaration of constant values, the metamodel defines the Constant node
type, which may be contained arbitrarily often in a Process graphmodel. Just
like the OutputPort node type, a Constant node can be connected to InputPort
nodes via outgoing edges. The lower bound of the cardinality defines that a
Constant node must have at least one outgoing edge for a valid structure.
SubProcess
The hierarchical composition of a Process graphmodel is achieved by using a
representative container. The corresponding SubProcess container type can be
instantiated any number of times in a Process and holds a reference to the underlying Process. Just like the Function container type, the SubProcess container
type is defined to contain at least one InputPort node and an arbitrary number of
OutputPort nodes. In this case, however, the parameters of a Function Interface
are not represented, but rather the signature of the underlying Process. To define
this signature, each Process contains a Start and an End container. The OutputPorts within a Start container define the data which can be passed into the
Process and are represented as InputPort nodes inside the SubProcess container
above. Analogously InputPort nodes within the End container are represented
by OutputPort nodes inside the SubProcess container. Thus processes can be
structured hierarchically, by the use of SubProcess containers as representatives
within a superordinate process model.
The functions are ML functions e.g. clustering, regression, classification etc supported by the linked IDE e.g. Jupyter</t>
  </si>
  <si>
    <t>dataflow-driven process model</t>
  </si>
  <si>
    <t>new DSLs; dataflow-driven process DSL; meta models provided</t>
  </si>
  <si>
    <t>workflow/process model</t>
  </si>
  <si>
    <t>code generaor</t>
  </si>
  <si>
    <t>Data analytics and ML pipeline/workflow process development</t>
  </si>
  <si>
    <t>Yes, generates code for training/ dataset loading, models the training/data loading step</t>
  </si>
  <si>
    <t>model-driven engineering enables a user to concentrate on the “what” and thus make design decisions independent of the “how” level of a concrete implementation. Supports code generation</t>
  </si>
  <si>
    <t>no evaluation only basic comparison with existing tools</t>
  </si>
  <si>
    <t>CINCO Language Workbench, EMF, Pyro</t>
  </si>
  <si>
    <t>The concept of Pyrus is based on the principles of the One-Thing-Approach and Continuous Model-Driven-Engineering by enabling service-oriented instrumentation of external functionalities in a central tool. 
None of the state-of-the-art tools provides a collaborative modeling environment and and is able to delegate the execution to best of bread executions environments, like Jupyter, via compilation. In contrast, Pyrus allows data analysts and domain experts to design data analysis models in tandem, each using their own browser, and then to delegate the execution to the execution environment of their choice, as illustrate in this paper for Jupyter. Whereas the advantage of browser-based collaboration is obvious in particular these days, execution via delegation has also numerous advantages: 
– it optimizes the data transfer, 
– it supports data security, as the individual data may remain at the execution environments location, and only the aggregated results are communicated via the net, and 
– using Pyrus interpreter, it is even possible to distribute the computation to dedicated execution environments for local computation and aggregate the results at the end. The execution environments may be different instantiations of Jupyper, but also entirely different execution environments like Gitpod, CodeAnywhere and Eclipse Che.</t>
  </si>
  <si>
    <t>support for more IDEs and programming languages, more extensions</t>
  </si>
  <si>
    <t>significant effort required for function discovery, unclear which ML libraries are supported, no evaluation, no human aspects considered, scalability unclear</t>
  </si>
  <si>
    <t>The current architecture and technical implementation opens up the possibility for a variety of extensions on different levels. First, the previous validation, which is based on the static strong type system, can be extended by model checking methods. For this purpose, the external functions must be supplemented by further annotations in order to specify various properties to be checked. These annotations can be used to support the user during the modeling process by checking the semantic correctness. In a further step, the existing properties can be used to apply synthesis methods, as already done in the Bio-jETI tool. In this way, automatically missing process parts could be added to resolve existing type incompatibilities. In addition to these enhancements on the usage level, we plan to increase the amount of usable programming languages to be integrated as functions in Pyrus. Jupyter offers a variety of languages which can be used through the integration of so-called kernels. In order to give users the freedom to choose which languages are used to create functionality, the function discovery and code generation of Pyrus can be extended. Functions of different languages can be called during the execution for example over remote-procedure-calls or with the help of interoperability frameworks like rpy2 [4]. In this way, functions of different programming languages can be combined in the modeling environment for specific purposes. In order to be able to address different domains with Pyrus, it is necessary to integrate further web-based IDEs such as Gitpod, Eclipse Che, Codeanywhere or AWS Cloud9. For this purpose, a standardized interface and protocol should be established how online IDEs can communicate with each other.</t>
  </si>
  <si>
    <t xml:space="preserve">Motivation: Machine learning (ML) is used increasingly in safety-critical systems to provide more complex autonomy to make the system to do decisions by itself in uncertain environments. Using ML to learn system features is fundamentally different from manually implementing them in conventional components written in source code.
Goal: In this paper, we make a first step towards exploring the architecture modeling of safety-critical autonomous systems which are composed of conventional components and ML components, based on natural language requirements. Firstly, augmented intelligence for restricted natural language requirement modeling is proposed. Secondly, automatic generation of SysML architecture models from the Restricted Natural language requirement specifications is presented. </t>
  </si>
  <si>
    <t>the application of MDD in safety-critical autonomous systems and bridge the gap between textual requirements and SysML models. It is the first contribution towards a restricted natural language requirement modeling for SysML, automated generation of architecture models in SysML with ML and non-ML components, from requirements specifications</t>
  </si>
  <si>
    <t>Cyber-physical systems/safety critical systems</t>
  </si>
  <si>
    <t>Cyber-physical autonomous systems</t>
  </si>
  <si>
    <t>autonomous system designer</t>
  </si>
  <si>
    <t>model transformer, extension of a modelling language (SysML),tool. Also provides augmented intelligence for requirements modeling (not in scope of this SLR)</t>
  </si>
  <si>
    <t>in RNLreq requirements specification model with augmented intelligence (not in scope of  this SLR) - Data Dictionary &amp; Domain Glossary, requirement templates and Sentence Patterns
 A subset of SysML calledSubSysML consists of 
Hierarchy view - a block definition diagram (BDD), internal block diagrams (IBD), activity diagrams (ActD) and stereotypes (extensions added in this paper) such as ConstraintRequirement and MLComponent. Blocks are the key elements of BDDs and can represent basic structural decompositions for modeling static structures of systems. Properties of blocks represent the states and attributes of systems. MLComponent is a sub-stereotype of SysML block stereotype and has properties describing characteristics of data and algorithms.
Inter-communication view is represented by IBDs and its elements such as Port and Property.
Functional view reflects the dynamic behavior of a system. Functional view is represented by an activity diagram and its elements (nodes in blue color). SubSysML contains several kinds of Activity Nodes such as call behavior actions (represent a basic unit of functionality within the activity), initial/final node (mark the start/end of an activity), fork/join nodes (mark the start/end of concurrent sequences), decision/merge node (mark the start/end of alternative sequences), send signal actions (send a signal instance to a target),
accept event actions (wait for a signal to continue the activity). ActivityPartition allocates activity nodes to blocks. ConstraintRequirement for an activity node can represent some constraints such as timing that should be satisfied by a running component.
In non-functional view, we extend the existing SysML Constraint stereotype to specify
the non-functional properties, including safety, reliability, performance and so on. Figure 11 is the definition of the ConstraintRequirement of the system. ConstraintRequirement can contain an OCL expression that formally states an acceptance condition, threshold for a traditional component, or a data requirement for an ML component. For example, Fig. 12 shows the use of ConstraintRequirement to describe the property of the working temperatures of a sensor.
Data view captures the data structure of the system using objects, attributes, operations, and relationships. We extend SysML’s ValueType stereotype to model the data structure of the system which is specified by Data Dictionary.</t>
  </si>
  <si>
    <t>subSysML and RNLReq</t>
  </si>
  <si>
    <t>SysML subset extended and RNLreq (new DSL - meta model provided)</t>
  </si>
  <si>
    <t>1, requirements model, 3 architecture models (structure, communication, activity/design)</t>
  </si>
  <si>
    <t>architecture models (structure, design and communication)</t>
  </si>
  <si>
    <t>ML components design and interaction with each other and non-ML components</t>
  </si>
  <si>
    <t>supports automated generation of system architecture models from requirements models</t>
  </si>
  <si>
    <t>yes, as AI non functional requirements - safety, reliability, performance, explainability, resource consumption. also considers training data attributes - completelness</t>
  </si>
  <si>
    <t>Case studies 3 - Autonomous Guidance, Navigation and Control (AGNC), Rocket control system, Aircraft Air Pressurisation System (AAPS)</t>
  </si>
  <si>
    <t>industrial case study</t>
  </si>
  <si>
    <t>Eclipse Papyrus, EMF</t>
  </si>
  <si>
    <t>completeness, count of elements in requirements model compared to counts of elements generated in SysML models, modeling concepts considered in comparison to other approaches</t>
  </si>
  <si>
    <t>This paper made a first step towards exploring the architecture modeling of AI-based safety-critical autonomous systems, based on natural language requirements. Firstly, Augmented Intelligence for restricted natural language requirement modeling is proposed. In that, several AI technologies such as natural language processing and clustering are used to recommend candidate terms to the glossary. The glossary (including data dictionary and domain glossary) is used in the restricted natural language requirement template RNLReq, which is equipped with a set of restriction rules and templates to structure and restrict the way how users document requirements. Secondly, in order to support the description of the specific requirement types of safety-critical autonomous systems, an extension of SysML is given, and then automatic generation SysML architecture models from requirements specified with RNLReq is presented. Thirdly, the prototype tool for both RNLReq and RNLReq2SysML is implemented based on Papyrus. Finally, an industrial Autonomous Guidance, Navigation and Control (AGNC) as case study for the proposed approach has been carried out and it provides some positive feedback and lessons.</t>
  </si>
  <si>
    <t>design not implemented and evaluated. Requirements must be according to template provided.</t>
  </si>
  <si>
    <t>In the future, we would like to consider more new AI technologies such DNN in our AuI method. In addition, as mentioned before, AI is already beginning to impact various system engineering aspects. These include safety analysis, requirement engineering, systems modeling, verification, process management, search and information retrieval, dynamic context management, and human-system integration. Therefore, we would like to explore AuI in other phases of system engineering, such as RNL template recommendation, safety analysis, formal verification, and so on. As safety-critical autonomous systems are often resource-constrained, we are currently working on the compositional verification on the SysML models to evaluate the trade-off between objectives such as performance, resource consumption, failure tolerance rate so as to determine the optimal solutions.</t>
  </si>
  <si>
    <t>Motivation: due to the complexity of data mining techniques, it is required the know-how of an expert in this field to select and use them. Actually, adequately applying data mining is out of the reach of novice users which have expertise in their area of work, but lack skills to employ these techniques.
Goal: support novice users in the process of selecting the data mining classification algorithm that better fits with their data and goal.</t>
  </si>
  <si>
    <t>In this paper, we use both model driven engineering and scientific workflow standards and tools in order to develop named S3Mining framework, which supports novice users in the process of selecting the data mining classification algorithm that better fits with their data and goal. To this aim, this selection process uses the past experiences of expert data miners with the application of classification techniques over their own datasets.</t>
  </si>
  <si>
    <t>machine learning -  classification</t>
  </si>
  <si>
    <t>desktop and Web</t>
  </si>
  <si>
    <t>data mining applications</t>
  </si>
  <si>
    <t>novice data miners (to use recommender) and expert data miners (to build knowledge base and recommender)</t>
  </si>
  <si>
    <t>framework, code generator/recommender generator, knowledge base, approach to create a knowledge base</t>
  </si>
  <si>
    <t>(Data mining knowledge base) DMKB. This is the main class that represents the Data Mining Knowledge Base. From the relationship hasModels contains elements of type DMKBModel.
DMKBModel. This is the class that contains the useful elements for representing a Data Mining Knowledge Base (DMKB). The DMKBModel is a
class that gathers all the information that is generated after analyzing a new data source. It collects the specification of a model in which the following information can be stored: input datasets, metafeatures, data mining algorithms, parameter-setting and data mining performance metrics.
DataSet. It describes the dataset used for generating the information included in the knowledge base. Each DataSet is composed of different fields. Each dataset belongs to a domain and contains a set of dataset metafeatures.
Field. It represents a piece of data contained in the DataSet. This piece of data is identified by a name. Also, the kind of field must be defined (by means of an enumeration called FieldKind) and its type (by means of an enumeration called FieldType). This class contains a set of metafeatures values that are related to the field.
FieldKind. It is an enumeration class for defining the type of value that the field instances may contain (continuous, categorical or mixed).
FieldType. It is an enumeration class for representing the type of each Field (numeric, date, nominal or string).
DataSetDomain. Domain which a specific dataset belongs to.
MiningModelPerformance. This class collects measures for evaluating the performance of each model (e.g. accuracy, f-measures, etc.).
Algorithm. This class represents information about the data mining algorithms that could be executed. Each algorithm belongs to a specific
technique. (e.g. NaiveBayes, J48, RandomTree or Adaboost).
Parameter. It is a class that collects values of initial parameters when executing an algorithm. This class contains the name of parameter and its value.
Technique. This class defines a set of existing data mining approaches (e.g. tree-based classifiers, rule-based classifiers, distance-based clustering, and so on) inside each kind of problem. It contains a subgroup attribute in case that the algorithm requires to be further classified.
MiningTask. It defines the different kinds of data mining tasks (e.g. classification, prediction, clustering, etc.).
Metafeature. It is an abstract class that represents information related to the different criteria that can be presented either in a DataSet (DatasetMetafeature) or in each Field (FieldMetafeature). For each metafeature, a ComputationMode is defined to described how it is calculated (e.g. Pearson correlation method), and a MeasureUnit that represents the corresponding unit of measure if necessary.
DatasetMetafeature. This class inherits from the Metafeature class and collects values for each dataset metafeature defined.
FieldMetafeature. It inherits from the Metafeature class and gathers a value for specific Field class.
PredictedField. This class inherits from field and is designed to identify the target attribute that must be predicted when a type of problem is classification or regression.
ClassMeasuresValues. This class gathers the performance measures achieved by the mining model built for each value of the target attribute.</t>
  </si>
  <si>
    <t>(Data mining knowledge base) DMKB model</t>
  </si>
  <si>
    <t>new DSL; DMKB, meta model provided</t>
  </si>
  <si>
    <t>multiple, model with features, algorithm and results of data mining models</t>
  </si>
  <si>
    <t>Acceleo is used to transform the selected DMKB models to an .arff text file.</t>
  </si>
  <si>
    <t>ARFF (Attribute-Relation File Format) file (text)</t>
  </si>
  <si>
    <t>.arff text files</t>
  </si>
  <si>
    <t>ML experiment data storage (includes features, results, algorithm etc), ML algorithm recommendation</t>
  </si>
  <si>
    <t>Yes, models training data, includes data in the generated .arff file</t>
  </si>
  <si>
    <t xml:space="preserve">none </t>
  </si>
  <si>
    <t>creation of a knowledge base and automated generation of ML recommenders for novice data miners</t>
  </si>
  <si>
    <t>Experiments - domain specific (e-learning) and domain independent</t>
  </si>
  <si>
    <t>30 datasets from Moodle and 61 datasets from UCI repository</t>
  </si>
  <si>
    <t>Eclipse, Acceleo, Weka</t>
  </si>
  <si>
    <t>accuracy, f-measure</t>
  </si>
  <si>
    <t>In this paper, model-driven engineering and scientific workflow standards and tools are used for defining the S3Mining framework in order to support novice data miners in the application of classification algorithms over their structured data. Specifically, the following contributions have been achieved in this paper:
1. A meta model that contains those useful concepts for representing models representing experiment data mining meta-features as a knowledge base.
2. Scientific workflows (that includes model-driven transformations) for (i) providing a mechanism for expert data miners to easily obtain all the information to automatically create and feed the knowledge base, as well as (ii) for offering novice data miners a mechanism to obtain a recommendation of the data mining algorithms to use on their datasets.
3. A set of experiments addressed to build recommenders are shown as proof of feasibility of our framework.
4. A public implementation of the workflows in Taverna, which are available on the Web.</t>
  </si>
  <si>
    <t>mentioned in future work section below; only considers classification algorithms currently</t>
  </si>
  <si>
    <t>several experiments need to be conducted by the expert to build the knowledge base, very time consuming, requires a lot of effort. Scalability unclear, novice data miner may not know which performance measure to choose e.g. accuracy, f1 measure etc. No industrial evaluation</t>
  </si>
  <si>
    <t>As avenue for future work, we plan to study how recommenders can be included in our framework for other data mining algorithms apart from classification ones, e.g., for clustering techniques. It is worth noting that this paper avoids dealing in detail with preprocessing techniques as we assume that the data sets are already preprocessed. As future work, we therefore consider different approaches of data-preprocessing and how they can be included in our framework. Other interesting challenge is the study of different types of recommendation approaches, like collaborative filtering [63] or trust-based recommendation [64]. Finally, the development of crowdsourcing techniques in order to collaboratively create the knowledge base is also planned as future work (e.g., in the sense of [65] that proposes the application of crowdsourcing and some techniques from open innovation to the scientific method for creating a collective intelligence), since it includes many challenges, as stated by Auer and Mann [17], such as encouraging researchers to create training data needed to automate the generation of knowledge bases in different fields of research.</t>
  </si>
  <si>
    <t xml:space="preserve">Motivation: Recently, a number of data analytics and machine learning tools
have become popular, providing packaged data sourcing, integration,
analysis and visualization toolkits oriented towards end-users. However, they mostly focus on the machine learning algorithms and sometimes one-click deployment, but lack
domain knowledge and business problem capture, modeling, traceability to the solution and validation of the solution against the problem. They also lack an explanation of the model from an end-user perspective. Data analytics and machine learning steps need to be more tightly connected to the control and management of business and requirements
engineering processes [10]. However, the primary focus of most current
big data analytics tools and technologies is on storage, processing, and
in particular data analysis and machine learning tasks. Current data
analytics tools rarely focus on the improvement of end-to-end processes
Goal:  a set of domain-specific visual models at differing levels of abstraction, to capture and refine requirements and specify different parts of the data analytics process. </t>
  </si>
  <si>
    <t>Through these domain-specific visual languages (DSVLs), we aim to make data analytics design more accessible to multidisciplinary teams and facilitate
dialogues with expert data scientists and software engineers. BiDaML
provides better tool support and collaboration between different users
while improving the speed of implementing data analytics solutions.</t>
  </si>
  <si>
    <t>stakeholders in data analytics projects (Business owners, business analysts, data analysts and data scientists)</t>
  </si>
  <si>
    <t>modeling languages, code generator, report generator, tool</t>
  </si>
  <si>
    <t>BiDaML, a set of domain-specific visual languages using five diagram types at different levels of abstraction to support key aspects of big data analytics. These five diagram types cover the whole data analytics software development life cycle from higher-level requirement analysis and problem definition through the low-level deployment of the final product. These five diagrammatic types are:
• Brainstorming diagram which provides an overview of a data analytics project and all the tasks and sub-tasks that are involved in designing the solution at a very high level. Users can include comments and extra information for the other stakeholders;
• Process diagram which specifies the analytics processes/steps including key details related to the participants (individuals and organizations), operations, and conditions in a data analytics project capturing details from a high-level to a lower-level;
• Technique diagrams which show the step by step procedures and
processes for each sub-task in the brainstorming and process diagrams at a low level of abstraction. They show what techniques have
been used or are planned to be used and whether they were successful or there were any issues;
• Data diagrams which document the data and artifacts that are produced in each of the above diagrams at a low level, i.e. the technical
AI-based layer. They also define in detail the outputs associated with
different tasks, e.g. output information, reports, results, visualizations, and outcomes;
• Deployment diagram which depicts the run-time configuration, i.e.
the system hardware, the software installed on it, and the middleware connecting different machines to each other for development
related tasks.
overview diagrams, which covers all the high level to low level diagrams from
brainstorming to deployment diagram, and also includes any optional
metadata associated with objects in the diagrams.</t>
  </si>
  <si>
    <t>BiDaML models (brainstorming, process, technique, deployment, data)</t>
  </si>
  <si>
    <t>BiDaML; new DSL; meta model/notations provided</t>
  </si>
  <si>
    <t>5, brainstorming, process, technique, data and deployment</t>
  </si>
  <si>
    <t>code generator and document generator</t>
  </si>
  <si>
    <t>Python, report generated in text as word document</t>
  </si>
  <si>
    <t>code, reports</t>
  </si>
  <si>
    <t xml:space="preserve">requirements analysis, training, development, deployment of ML model </t>
  </si>
  <si>
    <t>Pandas, numpy and sklear are mentioned</t>
  </si>
  <si>
    <t>automated generation of code and documents from models, also enables easy collaboration and communication between stakeholders</t>
  </si>
  <si>
    <t xml:space="preserve">Physics of Notations evaluation of the visual notation,  empirical evaluation with a range of target users and industry experience </t>
  </si>
  <si>
    <t>academic and industrial</t>
  </si>
  <si>
    <t>not mentioned if datasets were used from experiences with REALas property prediction, Vic Roads and Alfred Hospital</t>
  </si>
  <si>
    <t>MetaEdit+</t>
  </si>
  <si>
    <t>ease of use, ease of learning, preference over other models/modeling approaches</t>
  </si>
  <si>
    <t>We have described a set of visual notations for specifying data
analytics projects. Our set of DSVLs, BiDaML, aims to provide a similar
modeling framework for data analytics solution design as UML does for
software design. It is comprised of five high- to low-level diagrammatic
types. These diagrams represent both data- and technique-oriented
components of a data analytics solution design. A Physics of Notations
analysis and a cognitive walkthrough with several end-users were undertaken to evaluate the usability of BiDaML. We have also used our
diagrams to model several complex big data analytics problems. Key
findings include (1) nearly all participants agreed that the BiDaML
notations/tool was straightforward to understand and learn, and (2)
participants prefer BiDaML for supporting complex data analytics solution modeling than other existing modeling languages.</t>
  </si>
  <si>
    <t>Limitations and deficiencies predominantly related to the maturity
of the tool and its implementation. The current prototype tool has been
developed using the bespoke MetaEdit+ domain-specific modeling development tool, which has limitations in fulfilling our desired end
state. Some of the notable challenges we faced during evaluations and
user studies were that although BiDaML can be accessed by all the
stakeholders in different geographical locations, our intervention has
been required so far, since for end users to use the tool, they would
require a MetaEdit+ trial license. It also lacks a web-based user interface that would allow users to more easily access the tool without
installing the software. Moreover, using MetaEdit+ limited us in generating documentation, reports and source code. It also limited us in
easily giving access to users and evaluating the tool.</t>
  </si>
  <si>
    <t>only generates partial code with support for some ML algorithms. Unclear which ML algorithms are and libraries are supported</t>
  </si>
  <si>
    <t>Our intended future work includes providing multiple view/elision
support for large diagrams in our BiDaML modeling tool. In addition,
we see considerable scope for providing back end integration with other
data analytics tools, such as Azure ML Studio. Our tool can then be used
at an abstract level during requirements analysis and design, and then
connected to different tools at a low level from say Google, Microsoft or Amazon. Therefore, our DSVLs could be used to design, implement and control a data analytics solution. Our BiDaML tool will also support modeling and code generation, together with collaborative work support in the future. Since big data analysis has the same steps, the code
generation feature of our tool will provide a set of templates for
handling different classes of systems in data analytics projects. These
will be leveraged to integrate our tool with other data analytics packages.
We are currently looking to reimplement BiDaML as a stand-alone web-based tool and
equip it with a recommender system to recommend suitable resources,
models, techniques and solutions to the users based on the modeled
problem and objectives.  We aim to further develop BiDaML integrations for
well-known existing tools to encourage users to continue using BiDaML
through the entire development of the final product.</t>
  </si>
  <si>
    <t>Motivation: The potential impacts of data
analytics on manufacturing-systems efficiency include a reduction of production cost
and time across all manufacturing levels [1, 2]. Data scientists and manufacturing
engineers often collaborate when using data analytics to solve process-specific
problems to improve product quality [3, 4], equipment efficiency [5, 6], and resource 
efficiency [7, 8]. However, these collaborations require a significant amount of time
and effort to merge the expertise from these two domains.
Goal: an domain specific framework to automate the application of analytical models to manufacturing problems. The framework 1) identifies the
main components and interfaces that must be implemented to improve communication
between these domains and 2) facilitates the application of data analytics in
manufacturing.</t>
  </si>
  <si>
    <t xml:space="preserve">Our approach focuses on using data analytics – specifically neural networks (NNs)
– for predicting a set of manufacturing-process-related performance metrics. There are
three main contributions of this paper. First, we provide meta-models to represent
manufacturing processes and NNs. Second, we describe an algorithm to generate a
trained NN automatically from a manufacturing process model and data. Third, we
discuss a tool to export the NN in two standard formats: the Predictive Model Markup
Language (PMML) [10] and the Portable Format for Analytics (PFA) </t>
  </si>
  <si>
    <t>manufacturing applications most likely cyber physical systems</t>
  </si>
  <si>
    <t>domain expert in this case manufacturing engineer</t>
  </si>
  <si>
    <t>framework, modeling languages, neural network model generator</t>
  </si>
  <si>
    <t xml:space="preserve">Providing an neural network meta model (NNMM) enables generation of an neural network model (NNM) from the manufacturing model. Meta model of the manufacturing model contains the following 
a ManufacturingModel can contain 0 or more
instances of ManufacturingProcess.
The annotation &lt;&lt;Model&gt;&gt; is used to identify first class objects, while the
annotation &lt;&lt;Connection&gt;&gt; is used to represent edges, flows, or associations.
ManufacturingModel is a high level concept that allows the description of a
manufacturing model that is composed of Flows and ManufacturingProcess concepts. The Flow concept represents connections between instances of the
ManufacturingProcess concept. A ManufacturingProcess is composed of Resource
and Equipment concepts, which allow the manufacturer to include resource or
equipment parameters as variables of the manufacturing process.
ManufacturingProcess also contains the concepts of Parameter and Metric. Metric is
used to define a quantity of interest in the manufacturing process. Parameters are the
variables that can impact the metric for a manufacturing process.  the
Resource concept is extended to define different types of resources: energy, water, and
material. The manufacturing meta-model can also be extended to define other kinds of
resources such as labor.
the NNMM defines the structure of a NN model. The meta model contains the following
A NeuralNetworkModel concept is composed of
Neuron and Edge concepts. Neuron is an abstract concept and is
extended by four concepts: InputNeuron, HiddenNeuron,
BiasNeuron and OutputNeuron concepts. Edge is an abstract
concept that is extended by the VisibleEdge and HiddenEdge
concepts. A VisibleEdge is used to represent an edge between an
input neuron and a hidden neuron, between a hidden neuron and
an output neuron and between a bias neuron and an output
neuron. Edges between two hidden neurons and between a bias
neuron and a hidden neuron are represented using a
HiddenEdge. This NNMM is built to facilitate its adoption by allowing
the extension of the meta-model to meet new requirements. For
instance, in the proposed NNMM, a layer is represented by a neuron attribute . </t>
  </si>
  <si>
    <t>neural network model, manufacturing model</t>
  </si>
  <si>
    <t>new DSL; NNMM; neural network meta model; manufacturing meta model, meta model provided</t>
  </si>
  <si>
    <t>2, manufacturing model and neural network structure model (instantiated automatically)</t>
  </si>
  <si>
    <t xml:space="preserve">the NN model builder generates the neural network model (instance of the meta model), then converts it code to train the model and finally converts the trained model into PMML/PMA files </t>
  </si>
  <si>
    <t>unclear which language code is generated, based on previous version maybe NN code is in Java, trained neural network model generated as PMML or PMA file</t>
  </si>
  <si>
    <t>neural network model, subset of dataset that is relevant, trained neural network as PMML or PMA file</t>
  </si>
  <si>
    <t>model structure design, development and model training</t>
  </si>
  <si>
    <t>Yes, generates code for training/ dataset loading, creates a subset of the dataset based on features of interest</t>
  </si>
  <si>
    <t>not mentioned..maybe weka (based on previous version)</t>
  </si>
  <si>
    <t>automated design, development and training of NN model</t>
  </si>
  <si>
    <t xml:space="preserve">milling machine data from another research paper - A generalized data-driven energy prediction model with uncertainty for a milling machine tool using Gaussian Process </t>
  </si>
  <si>
    <t>none mentioned in this paper; previous version mentioned Java PMML, titus and generic modeling environment (GME)</t>
  </si>
  <si>
    <t xml:space="preserve"> we proposed an approach to generate an NN to predict performance
metrics for manufacturing processes. This approach provides capabilities to collect the
required manufacturing knowledge and to use that knowledge to build NN models to predict the performance metrics for different values of the process parameters. This can
be used to optimize performance by finding the best values for the process parameters. Part of that approach is developing a manufacturing meta-model. The metamodel allows manufacturing engineers to provide a set of the most important process
parameters – those have the most impact on performance – in a manufacturing model.
In addition to this meta-model, we implemented an NN model builder to automatically
build an NN model from a manufacturing model and data provided by manufacturing
engineers. The NN model builder provides 1) a feature-selection algorithm based on
the test data and 2) an NN model generator that generates the structure of the NN. From
the generated NN structure, an NN model interpreter produces a trained NN in a
standard format. Using a scoring engine, the trained NN can then be used to predict the
quantity of interest.
We illustrated the capabilities of our implementation using a realistic manufacturing
scenario. This paper presented an initial description and implementation of an approach to
generate predictive models for manufacturing applications. We implemented a
translator (the NN model builder) to generate neural networks automatically. </t>
  </si>
  <si>
    <t>Only supports neural networks, unclear how hyper parameters are set/modified..requires manual effort/configurations. Which ML libraries are used? scalability unclear. no industrial evaluation. no metrics mentioned for current academic evaluation. don't understand the need for the manufacturing model, user can directly specify features that affect the quality being predicted. How is the ML model evaluated? accuracy/precision etc of the generated ML model is never checked?</t>
  </si>
  <si>
    <t>mentioned with future work, meta-models and translators do not account
for most other parameters and constraints that affect manufacturing processes</t>
  </si>
  <si>
    <t>More translators will be implemented in future work to generate other types of predictive
models. In practice, manufacturing processes and their interactions with their
surrounding environment are complex. In order to generate reliable prediction models
for practical scenarios, our meta-models and translators must be extended to account
for other parameters and constraints that affect manufacturing processes. Future work
lies in four directions. The first is to extend the manufacturing meta-model to enable
the representation of problems in greater detail, and at different manufacturing levels
such as assembly. Next, add new steps to the NN model builder to improve its accuracy.
Third, include a scoring engine. Fourth, extend the framework to include different
analytical techniques such as Bayesian networks. Capabilities to build BN models could
enable the application of uncertainty quantification in manufacturing</t>
  </si>
  <si>
    <t xml:space="preserve">Motivation: the deployment of machine learning models, together with parameter tuning and
periodic training, which are necessary to maintain satisfiable
performance, represent time consuming processes, requiring
various types of skills - both DevOps and data analysis-related. 
Goal: we leverage model-driven approach in synergy
with code generation with aim to automatize the so-called MLOps activities  relying on ZenML framework for pipeline
automation and Kubernetes for containerized task orchestration.
On top of that, we leverage Blockchain for infrastructure
provisioning. Our goal is to reduce the cognitive load of
infrastructure and services management within systems relying
on machine learning. </t>
  </si>
  <si>
    <t>1) MLOps metamodel – defining the structure of
user-created model instances representing machine learning
pipelines with several distinct steps together with aspects
related to its deployment 
2) code generator – leverages the model for automated code generator covering several aspects: pipeline script, predictive model, infrastructure management
3) blockchain-based transaction model making use of smart
contracts for renting high-performance computing resources
aiming accelerated machine learning.</t>
  </si>
  <si>
    <t>web (with Kubernetes)</t>
  </si>
  <si>
    <t xml:space="preserve">ML engineer </t>
  </si>
  <si>
    <t>framework, modeling language, code generator, blockchain-based transaction model</t>
  </si>
  <si>
    <t>The highest-level concept is Pipeline, which consists of one or more machine learning tasks, referred to as Step. A Pipeline can be executed periodically for purpose of continuous training, which is defined by repeatTime property. Moreover, each of the Steps can be one of the following type with specific, distinct properties: Importer, Trainer or Evaluator. Importer represents ML task which downloads the corresponding dataset and opens the downloaded file. In this context, it is necessary to set URL corresponding to the location where dataset is stored online, denoted as onlineData. Otherwise, if dataset is local and already present on disk, another parameter is used – localData. When it comes to trainer step, it is possible to set its learning rate, number of batches, select the target implementation technology, but we make use of PyTorch in this paper. Each trainer can use precreated model, given by modelPath or it is necessary to define a custom neural network. For custom neural network, its architecture is described using Layer element, while each of them has type (such as Convolutional – in image classification or standard Fully Connected in Multi-Layer Perceptron), number of processing units (neurons) and activation function (such as ReLU, softmax, sigmoid). Finally, the performance metric used within Evaluator step depends on the type of machine learning task, and we cover two possibilities relevant to supervised learning as predictionType property of Pipeline – classification (Accuracy) and regression (Mean Relative Error). 
On the other side, the aspects of distinct Step deployment are covered by the metamodel as well. For each pipeline part, there is an attribute targetLabel, describing which worker node within Kubernetes cluster would be preferred for execution of pod created within custom step operator. Additionally, infrastructure executing the pipeline is represented as Cluster that consists of Nodes. For each Node, the following properties are customizable, such as label, location, IP address, accelerator (whether it has dedicated hardware for deep learning attached) and unit price (depending on the node performance).</t>
  </si>
  <si>
    <t>MLOps model</t>
  </si>
  <si>
    <t>new DSL; MLOps; meta model provided</t>
  </si>
  <si>
    <t>1 -  ML model design and deployment model</t>
  </si>
  <si>
    <t>code generator parses model and generates code for ML model, training and then deployment</t>
  </si>
  <si>
    <t>Python, YAML, Kubernetes deployment file in YAML</t>
  </si>
  <si>
    <t>code, deployment file</t>
  </si>
  <si>
    <t>ML model design, development, training and deployment</t>
  </si>
  <si>
    <t>Pytorch, numpy and ZenML, an open-source, high-level Python framework for machine learning pipeline automation.</t>
  </si>
  <si>
    <t>supports automated code generation, training and deployment of the ML model</t>
  </si>
  <si>
    <t>yoga pose determination (classification)  MNIST (classification), service demand prediction in telco networks (regression)</t>
  </si>
  <si>
    <t>Eclipse EMF, Ethereum blockchain in synergy with Solidity smart contracts</t>
  </si>
  <si>
    <t>model training time, and achieved prediction performance (MRE for regression, accuracy for classification).</t>
  </si>
  <si>
    <t>code generation time, speed-up compared to manual pipeline creation including model creation (moderately experienced machine learning engineer)</t>
  </si>
  <si>
    <t>According to the achieved experimental results, the
proposed model-driven approach to MLOps leveraging
automated code generation further speeds up the development
of machine learning services, required administration
operations and their delivery to the customers. Moreover, it
also accelerates resource leasing protocols adopting
blockchain-based smart contracts for transactions and their
automated generation. Finally, the adoption of intuitive
model-driven tools opens new horizons of machine learning
service adoption and management even by persons without
expertise in this area.</t>
  </si>
  <si>
    <t>paper mentions ML but seems only for Deep learning/neural networks, only accuracy and MRE metric used to evaluate ML model, time for modeling in experiments seems unrealistic (1.5 minutes), no industrial evaluation. No human aspects/responsible AI considered</t>
  </si>
  <si>
    <t>However, there are several possible research directions in
future. First, we would work on integration of model-driven
resource allocation mechanisms relying on multi-objective
optimization approach [17] for energy and cost-efficient ML
pipeline task scheduling. Moreover, the incorporation more
sophisticated federated learning mechanisms and neural
network layer splitting strategies across multiple cluster nodes
aiming time-critical scenarios would be considered as well.</t>
  </si>
  <si>
    <t xml:space="preserve">Motivation: Machine learning is one of key-enablers in case of
novel usage scenarios and adaptive behavior within next
generation mobile networks. In this paper, it is examined how
model-driven approach can be adopted to automatize machine
learning tasks aiming mobile network data analysis.
Goal: Our goal is to make use of code
generation based on user-created model instances, so the time
required for manual operations, such as data import and query
construction is significantly reduced. </t>
  </si>
  <si>
    <t>we leverage model-driven approach to
classification task with aim to automatize base station
anomaly detection using Neo4j graph database tools [3]. Our approach makes use of code
generation based on user-created model instances, so the time
required for manual operations, such as data import and query
construction is significantly reduced.</t>
  </si>
  <si>
    <t>graph database (Neo4j)</t>
  </si>
  <si>
    <t>ML applications for mobile network data analytics</t>
  </si>
  <si>
    <t xml:space="preserve">data analyst </t>
  </si>
  <si>
    <t>framework, modeling language, code generator</t>
  </si>
  <si>
    <t>Base station anomaly detection model - MappingCSVtoEMF class, Datafile class, Mapping class
CSVtoEMF - ML_MATT_Entry class, ML_MATT_Dataset class
Classification problem - Algorithm class, specialisation of algorithm as Classification and relationship discovery. 
Algorithm class has the following attributes -  
1) modelName – denotes under which model will be stored in catalog; 
2) featureProperties – input (independent) variable names; 
3) targetPropery – the name of target label/dependent variable; 
4) holdoutFraction – percentage of observations used within evaluation phase; 
5) metrics – metric for classification performance evaluation (f1-score and accuracy are supported by GDS). GDS gives the ability to define multiple candidate models within params.
Classification class composed of input feature and candidate model classes. Candidate model has following attributes - Furthermore, the following parameters can be customised
for each of the candidate models: 
1) penalty – value of learning rate; 
2) batchSize – count of observations considered inside an iteration in train phase; 
3) minEpochs – lower bound for iterations during training; 
4) maxEpochs – upper bound for iterations count in training step; 
5) patience – maximum allowed training iterations count executed without any improvement of classification performance, before termination of training; 
6) tolerance – minimum acceptable value of error function before stopping the training process.</t>
  </si>
  <si>
    <t>Base station anomaly detection, CSVtoEMF, Classification problem models</t>
  </si>
  <si>
    <t>new DSLs; Base station anomaly detection, CSVtoEMF, and Classification problem; meta models provided</t>
  </si>
  <si>
    <t>3, classification model, dataset model and mapping model</t>
  </si>
  <si>
    <t>query generator reads from models and generates queries</t>
  </si>
  <si>
    <t>Cypher (Neo4j's graph query language)</t>
  </si>
  <si>
    <t xml:space="preserve">Neo4j graph queries, trained ML model </t>
  </si>
  <si>
    <t>ML algorithm specification, ML training</t>
  </si>
  <si>
    <t xml:space="preserve">not mentioned </t>
  </si>
  <si>
    <t>automated generation and training of ML model</t>
  </si>
  <si>
    <t>Experiment</t>
  </si>
  <si>
    <t>Kraggle</t>
  </si>
  <si>
    <t>PyEcore</t>
  </si>
  <si>
    <t>accuracy, F1-score, training time/processing time</t>
  </si>
  <si>
    <t xml:space="preserve">query generation time, acceleration compared to manual query creation </t>
  </si>
  <si>
    <t xml:space="preserve">According to our experimental results on public open
dataset, it can be concluded that our approach is also effective
in case of base station anomaly detection. The predictive
model for classification outperforms similar solution based on
deep learning. Moreover, leveraging model-based
representations together with automated code generation
procedures has significant benefit, compared to manual data
import and query construction, achieving speed-up more than
four times. </t>
  </si>
  <si>
    <t xml:space="preserve">unclear which classifications algorithms are used, how models are converted? Only accuracy and f1 score used to evaluate ML model, scalability unclear. </t>
  </si>
  <si>
    <t>Regarding the future works, we plan to evaluate the approach on other machine learning tasks relevant to state of-art mobile networks, such as base station performance estimation and user number prediction.</t>
  </si>
  <si>
    <t>Motivation: The engineering of datasets and neural networks is a challenging task that
requires methods and tools to satisfy customers’ expectations. The lack of tools that support requirements specification languages makes it difficult for engineers to describe dataset and neural network recognition skill requirements. Existing approaches often rely on traditional ad hoc approaches, without precise requirement specifications for data selection criteria, to build these datasets. Moreover, these approaches do not focus on the requirements of the neural network’s expected recognition skills.
Goal: We aim to overcome this issue by defining a domain-specific language that precisely specifies dataset requirements and expected recognition skills after training for an NN-based system. In this paper, we present a textual domain-specific language (DSL) called SEMKIS-DSL (Software Engineering Methodology for the Knowledge management of Intelligent Systems) that is designed to support software engineers in specifying the requirements and recognition skills of neural networks. 
The aim of this process is to provide precisely defined SE
activities that can help software engineers iteratively augment datasets with synthetic data
to re-train NNs and improve their recognition skills.</t>
  </si>
  <si>
    <t>In this paper, we introduce a textual domain-specific language (DSL) called SEMKIS-DSL that is designed to help software engineers specify the requirements and recognition
skills for neural networks. We first define a metamodel to outline the concepts related
to customer requirements and NN key properties. Then, we present the domain-specific
language, which is compliant with the metamodel and serves as an MDE tool to support the
specification of requirements and key properties. The DSL guides users to create structured,
readable, and maintainable requirements and key properties. We also describe how some
informal model transformations from these specification models can be transformed into a
data synthesizer.</t>
  </si>
  <si>
    <t>neural network applications</t>
  </si>
  <si>
    <t>software engineer and dataset engineer</t>
  </si>
  <si>
    <t>modeling language, model to text transformer/code generator, data synthesizer, tool</t>
  </si>
  <si>
    <t>requirements specification models - functional requirements, non-functional requirements and dataset requirements
The software engineer specifies each of the customer’s requirements (ctRequirements) as either a functional or non-functional requirement. Each requirement must be named and described, and a purpose and priority should be specified. Functional requirements
(ctFunctionalRequirement) describe the expected behaviors that the target NN must offer. The functional requirements describe the targeted recognition skills of the target NN. Each functional requirement defines the expected target NN’s output given a certain target NN’s input. The target NN’s input (ctTargetNNInput) describes the customer’s required input data and some technical details about the target NN’s architecture such as the input format and size. The input data (ctInputData) represent the data elements (ctDataElement) of a dataset (ctDataset). Additionally, they define the target NN’s input value format that must be readable by an NN. Datasets consist of data elements, which are classified into equivalence classes (ctEquivalenceClass). We define an equivalence class as a group of related artifacts that an NN recognizes within its category. A data element can be a numerical value, image, video, voice, or any other input data that is processable by an NN. In practice, the software engineer starts by specifying the datasets, their data elements, and equivalence classes. Then, the engineer specifies the target NN’s input characteristics and associates the input data with the data elements of the dataset. • The target NN’s output (ctTargetNNOutput) describes the customer’s expected output given a certain input. Given an input data element, an NN typically outputs a probability distribution over multiple equivalence classes that describes the likelihood that the data element belongs to an equivalence class. Hence, the target NN’s output specifies the output format and size, as well as the accepted value range. Additionally, the output specifies the equivalence classes for which a probability is computed by the NN. Non-functional requirements (ctNonFunctionalRequirement) (see Figure 4) describe the expected characteristics of the system under development. Typically, these characteristics include performance, reliability, maintainability, and robustness, among others. In the context of NN engineering, engineers usually evaluate the performance, robustness, and reliability of an NN based on specific properties. We focus on the following four properties: • Accuracy (ctTargetAccuracy) describes the ratio between the number of correctly recognized data by the target NN and the number of all data elements within the dataset. • Loss (ctTargetLoss) is a numerical value that describes the recognition error between the target NN’s actual output and its expected output. • Precision (ctTargetPrecision) describes the ratio between the number of correctly classified and recognized data and the total number of data elements. • Recall (ctTargetRecall) describes the ratio between the number of correctly classified and recognized data and the number of both correctly/incorrectly classified and recognized data.
more dataset information in dataset model e.g. training testing etc
Test monitoring and data analysis models - During this phase, software engineers test and analyze the software to verify if the functional and non-functional requirements have been met based on the initial specifications. The main objective of this phase is to evaluate the software’s behavior to obtain customer validation for deploying the software.In SEMKIS, we defined two activities for the testing phase. In the first activity, a software engineer tests a target NN to collect data for identifying its recognition skills. We refer to this collected data as the test monitoring data. During the testing of the NN, the testing dataset is given as input to the target NN and then the target NN’s output is analyzed. The test monitoring data may comprise quantitative values (e.g., accuracy, loss), (in-)correctly recognized equivalence classes, or graphical visualizations (e.g., confusion matrices, heat maps, categorized recognized images). In the second activity, an engineer reviews the test monitoring data and makes some observations about the target NN’s acquired recognition skills. The purpose of these observations is to understand the recognition skills and precisely specify the key properties using the SEMKIS-DSL. Then, the specifications are analyzed to verify that they are consistent with the customer’s requirements. The purpose of the key properties is to define the target NN’s recognition strengths and weaknesses, which are presented to the customer who then validates the produced target NN.
A software engineer specifies the target NN’s key properties (ctKeyproperties) as qualitative or quantitative. Each key property must be named, given a detailed description, a state (i.e., toBeDiscussed, todo, done, inReview, validated), and a priority. The quantitative key properties (ctQuantitativeKeyproperty) describe the characteristics of an NN that are specified as numerical values (e.g., accuracy, loss, precision). We illustrate the conceptual model related to the quantitative key properties in Figure 5. Software engineers use the quantitative key properties to describe the statistical details of the target NN’s recognition skills. We identified two types of quantitative key properties, continuous and discrete key properties. The continuous key properties (ctContKeyProperty) are numerical values in a non-countable set (e.g., accuracy, loss, precision, and recall) that characterize the target NN’s recognition skills using. These characteristics specify the metrics of the acquired target NN’s recognition skills after training. We use the four non-functional requirements (i.e., accuracy, loss, etc.) to define the continuous key properties, accuracy (ctReachedAccuracy), loss (ctReachedLoss), precision (ctReachedPrecision), and (ctReachedRecall). However, at this stage, we specify the measurements of the achieved recognition skills rather than the targeted recognition skills (accuracy, loss). The discrete key properties (ctDiscKeyProperty) are numerical values in a countable set (e.g., dataset size, categorizations, number of (in-)/correctly classified/recognized data) that describe a statistical analysis of the recognition of the specific data elements, datasets, and subsets, as well as data within an equivalence class. The software engineer can specify the number of data elements (in-)/correctly recognized within groups of data elements. Therefore, we defined two types of discrete key properties: quantitative data analysis (ctQuantitativeDataAnalysis) and quantitative dataset analysis (ctQuantitativeDatasetAnalysis) that include these specifications.The qualitative key properties (ctQualitativeKeyProperties) are textual descriptions
or boolean expressions that describe the target NN’s recognition skills. We illustrate the conceptual model related to the qualitative key properties in Figure 6. The quantitative key properties precisely describe the characteristics and attributes of the target NN’s acquired recognition skills. For example, they can precisely describe the recognized objects in an image, insufficiently recognized equivalence classes, any recognition anomalies, or untested equivalence classes. Software engineers can use the qualitative key properties to precisely describe the different aspects (achieved recognitions, anomalies, incorrect recognitions) of the target NN’s recognition. We defined three types of quantitative key properties: nominal, ordinal, and logical. The nominal key properties (ctNomKeyProperty) are textual descriptions that characterize the recognition of specific data elements or their content (e.g., images and image content). Firstly, the nominal key properties specify equivalence classes that have not been (or insufficiently been) tested. Thus, the software engineer may indicate that further tests are required to evaluate the target NN’s recognition skills on an equivalence class. Secondly, the nominal key properties specify the identified recognition anomalies within the test data elements. The software engineer specifies the different characteristics that describe a problem with recognizing concrete data elements, their content, or an entire equivalence class. Thirdly, the nominal key properties specify the concrete recognition skills of the target NN. The software engineer precisely specifies the recognition of the data elements and characterizes the detected and accepted correct recognitions. Therefore, we defined three types of nominal key properties: recognition characteristics (ctRecognitionCharacteristic), untested equivalence classes (ctUntestedClasses), and recognition anomalies (ctRecoAnomaly). The ordinal key properties (ctOrdKeyProperty) specify the different characteristics of the equivalence classes within the dataset. Firstly, the ordinal key properties are used to specify the selection criteria for a recognized equivalence class when the target NN processes a data element. The target NN often outputs a probability distribution that describes the probability that a data element has been recognized within an equivalence class. Therefore, it is necessary to define a selection criterion (e.g., maximal probability) to select the recognized equivalence class. It is important to understand how the equivalence class has been selected, as the selection criteria may have an impact on the evaluation of the target NN’s recognition skills. There may be some recognition issues due to poorly chosen selection criteria. Secondly, the ordinal key properties specify the evaluation of the target NN’s recognition. The software engineer specifies the different evaluation criteria (i.e., very well, bad, satisfactory, unrecognizable, etc.) that describe the level of recognition of a set of data elements. To describe these concepts, we defined two types of ordinal key properties: selection of a recognized equivalence class (ctEquivClassSelection) and recognition evaluation (ctRecognitionEvaluation).
The logical key properties (ctLogKeyProperty) are boolean-based values that describe the recognition accuracy of the equivalence classes, categories of data elements, entire datasets, or individual data elements. Firstly, the logical key properties are used to specify a general evaluation of the recognition of an equivalence class. The software engineer specifies whether the data elements within this equivalence class have been correctly classified and recognized. Secondly, the logical key properties are used to specify an evaluation of the recognition of specific data elements (or groups of data elements). Similarly, the software engineer specifies whether the data elements within these groups have been correctly classified and recognized. Therefore, we defined two types of ordinal key properties: the accuracy of recognizing an equivalence class (ctEquivClassReco Correctness) and the accuracy of recognizing a set of data elements (ctDataClassReco Correctness). The resulting key-properties specifications describe the recognition strengths and weaknesses of the target NN. These strengths and weaknesses are validated by the customer in order to deploy the target NN into production. Otherwise, we proceed to dataset augmentation to re-engineer the datasets to improve the recognition skills of the target NN</t>
  </si>
  <si>
    <t>dataset model, functional requirements model, non functional requirements model, test and monitoring models for qualitative requirements and quantitative requirements</t>
  </si>
  <si>
    <t>new DSL;  SEMKIS-DSL (Software Engineering Methodology for the Knowledge management of Intelligent Systems); Meta models provided</t>
  </si>
  <si>
    <t>5, dataset, functional requirements, non functional requirements, test monitoring and data analysis model for qualitative info and quantitative info</t>
  </si>
  <si>
    <t>model to text generator for skeleton code generation of data synthesizer, model to text transformer for generating code of neural network architecture, model-to-text (M2T) transformation, which generates the skeleton code for a dataset augmentation synthesizer.</t>
  </si>
  <si>
    <t>dataset synthesizer, dataset augmentation synthesizer, neural network architecture</t>
  </si>
  <si>
    <t>NN requirements specification, design, development, training and testing against requirements</t>
  </si>
  <si>
    <t>Yes, models training data, Yes, generates code for training/ dataset loading, Also supports dataset requirements specification and augmentation</t>
  </si>
  <si>
    <t xml:space="preserve">supports requirements specification of NN model, design and development by automated generation of skeleton NN architecture code, training and testing of NN. Additionally supports automated dataset augmentation.  guides engineers in analyzing
the training monitoring data by introducing precisely defined concepts that need to be
specified. </t>
  </si>
  <si>
    <t>MNIST</t>
  </si>
  <si>
    <t>Eclipse, Xtext</t>
  </si>
  <si>
    <t>before and after dataset augmentation; confusion matrix of testing dataset, training and validation set accuracy, training and validation set loss</t>
  </si>
  <si>
    <t>In this paper, we introduce the SEMKIS domain-specific language to specify a customer’s requirements and an NN’s key properties. We utilize an MDE approach for
automatizing data generation from the requirements and key properties specifications. In
this context, our main contributions are (1) a SEMKIS-DSL conceptual model, which is used
to engineer the SEMKIS-DSL grammar, for business stakeholders that contains the main
concepts needed to specify the NN’s requirements and key properties; (2) an approach for
applying model transformations to translate these specifications into a data synthesizer or
an NN architecture; and (3) an illustration of the SEMKIS-DSL using a running example,
where we specify some requirements and key properties for the MNIST [10] problem.
We illustrate the SEMKIS-DSL concepts in the context of the recognition of handwritten
digits. Our running example shows promising results and demonstrates the potential of
our approach to support software engineers during the RE, testing, and validation phases
for releasing an NN into production, as well as engineer improved NNs with appropriate
datasets.</t>
  </si>
  <si>
    <t>We believe that the main limitations of the work presented in our paper concern the
metamodel coverage and the automation support.
Metamodel coverage: The proposed metamodel offers only a reduced set of concepts
and, more specifically, lacks the concepts needed to specify the refined accuracy and loss
metrics of the NN or any other required quality metrics.
Automation: There are currently no translational semantics available for performing
the proposed model-to-text transformations, which involve converting the requirements
and key-properties model into a data synthesizer implementation. Therefore, this step must
be carried out manually. To ensure requirements satisfiability, the NN’s key properties are
manually compared against the specified requirements. However, an automated module
for satisfaction evaluation is currently lacking, which poses a challenge for verification and
validation. 
The current version of our solution is far from scalable in its current form, making its
validity for “real system development” questionable</t>
  </si>
  <si>
    <t>No human aspects/responsible AI considered. Only generates skeleton code and requires manual effort, MDE approach not evaluated, unclear how hyper parameters are extracted from non-functional requirements and optimised before augmenting dataset. No industrial evaluation</t>
  </si>
  <si>
    <t>In future work, we intend to evaluate the SEMKIS methodology in an industrial environment. Our objective is to assess and validate the SEMKIS methodology, including the
SEMKIS-DSL and the model transformations, with software engineers on larger projects
and in an industrial context. We also intend to assess specific aspects such as the reductions
in costs and time for NN and dataset engineering, the complexity of the learning curve of
the SEMKIS-DSL for software engineers, and the readability and traceability of the specifications on large projects. Another idea for future work could be to extend the SEMKIS-DSL
to allow for the specification of dependable NNs using the DREF framework [32]. We
intend to extend our language with additional concepts to specify metrics for the resilience
of NNs, as well as facilitate the specification of the satisfiability of the customer’s requirements, including some tolerance margins. These metrics will allow us to measure the
satisfiability evolution of the customer’s requirements after each updated version of an
NN. The software engineer would then be able to analyze the metrics and define new data
selection criteria to improve the datasets for re-training the NN. The resulting NNs would
then meet the customer’s requirements within the specified tolerance.</t>
  </si>
  <si>
    <t>Motivation: Distributed systems can consist of thousands of network nodes interacting with each other. Given their size, managing these systems to perform optimally is a task that should be automated. Multi-agent reinforcement learning (MARL) is a suitable technique for tackling such problems. However, the application of MARL in a distributed system is not trivial.
Goal: To bridge the gap between these two domains, we introduce the Marlon language. It enables MARL experts to focus on solving machine learning problems, rather than the complexities of distributed computing.</t>
  </si>
  <si>
    <t>enables Multi-agent reinforcement learning (MARL) experts to focus on machine learning problems, rather than issues related to distributed computing. Likewise, it enables
distributed systems experts to make use of MARL without knowing the intricacies of machine learning.</t>
  </si>
  <si>
    <t>distributed systems (Erlang VM)</t>
  </si>
  <si>
    <t>Multi-agent reinforcement learning applications in distributed systems</t>
  </si>
  <si>
    <t>Multi-agent reinforcement learning (MARL) experts and distributed systems experts</t>
  </si>
  <si>
    <t xml:space="preserve">DSL, API for MARL algorithms </t>
  </si>
  <si>
    <t>actor ::= defactor type do member ∗ end
member ::= [property] def identifier(identifier∗) block
send ::= type.identifier(identifier∗)
block ::= do stmt∗ end
property ::= sync | async | reply
stmt ::= an Elixir statement
atype ::= a type name (in CamelCase)
identifier ::= an identifier (in snake_case)
initialize functions, asynchronous message handler, synchronous message handler, reply message handler
goal ::= defgoal type do
marltype [marlparams]
actions rewardfn [abstractfn]
[shared] [deviation] end
marltype ::= type type
marlparams ::= params [keyvalue∗]
keyvalue ::= identifier: expr
actions ::= actions [msgpar∗]
msgpar ::= identifier: [parvals∗]
parvals ::= [expr∗]
rewardfn ::= reward fn(agent, state) -&gt; stmt∗ end
abstractfn ::= abstraction fn(agent, state) -&gt;
stmt∗ end
shared ::= shared [(:identifier)∗]
deviation ::= share_deviation [keyvalue∗]
expr ::= an Elixir expression
To make use of a goal definition, we should still attach agents
to the distributed systems, and indicate when an agent must
choose an action, and when it can compute its reward. To do
this, every actor has three built-in functions: attach_agent,
do_action and update_reward.</t>
  </si>
  <si>
    <t>Marlon model</t>
  </si>
  <si>
    <t>new textual DSL - Marlon; implemented on top of the Elixir language</t>
  </si>
  <si>
    <t>4, system initialization model, master model, worker model and goal specification model</t>
  </si>
  <si>
    <t>Marlon DSL is implemented on top of Elixir language</t>
  </si>
  <si>
    <t xml:space="preserve">Reinforcement learning goal specification, agents specification, rewards specification and execution </t>
  </si>
  <si>
    <t>most of our implementations of the API call out to a C++ library called AI-toolbox</t>
  </si>
  <si>
    <t>provides a domain specific language for multi-agent reinforcement learning in distributed systems. The language is implemented on top of an existing language for distributed systems</t>
  </si>
  <si>
    <t>case study - load balancing example</t>
  </si>
  <si>
    <t>lines of code/ reduced lines of code compared to Elixir</t>
  </si>
  <si>
    <t>In this paper we have introduced the Marlon language to simplify making use of MARL in a distributed environment.</t>
  </si>
  <si>
    <t>The RL algorithm is never evaluated. Unclear which RL algorithms are supported. No industrial evaluation. No human aspects considered. Cant say if intermediate representation is created/ code is generated or language executes directly on Elixir</t>
  </si>
  <si>
    <t>Regarding future work, we would like to make use of Marlon to implement additional real-world use cases. This may require the language to be extended to cope with the needs
of a specific distributed environment. There may also be types of MARL algorithms that do not fit our current API yet. Finally, it would be interesting to measure to what extent
our current design scales to learning within a larger group of agents, or whether it is possible to effectively learn multiple goals simultaneously</t>
  </si>
  <si>
    <t>Motivation: 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Goal: OptiML, a DSL for developing machine learning algorithms and applications. The goal
of OptiML is to bridge the gap between ML algorithms and heterogeneous hardware to provide a productive and high performance programming environment.</t>
  </si>
  <si>
    <t>OptiML, a new DSL designed to enable machine learning algorithms to easily take advantage of heterogeneous parallelism. 
• We show that applications written using domainspecific abstractions can be highly expressive without sacrificing performance. 
• We demonstrate ML-specific analyses, optimizations and code generation that are not feasible with a general purpose compiler. 
• We show that OptiML without any explicit parallelization outperforms parallel MATLAB and AccelerEyes’ Jacket by an average of 3.52x on 8 cores and 3.98x with a GPU.</t>
  </si>
  <si>
    <t>High performance comuting/parallel programming platforms</t>
  </si>
  <si>
    <t>DSL, model to model transformer, code generator</t>
  </si>
  <si>
    <t>Matrix
Image Iteration can access pixels within a window
Training Set Only streaming (next, prev) access.
Can be file-backed and larger than memory
Vector
Indices Can be used to index vectors and matrices
Vertices Iteration can access neighboring vertices
Edges Iteration can access connected vertices
View A view of a contiguous section of a matrix
Updates propagate to the underlying matrix
All OptiML programs use data types derived from three fundamental base types: Vector, Matrix, and Graph. These data types are polymorphic and flexible. If they are used with scalar values they will be efficient and leverage BLAS and GPU support for applicable operations. However, they can also be used with other types (e.g. a vector of vectors). Vector, in particular, can be thought of as an array-like container that takes on its mathematical meaning when used with data types that support arithmetic operations. Vector and Matrix support all of the standard linear algebra operations used in most ML algorithms. They also provide a wide range of convenient collection operators, such as map, count, and filter. Subtypes support even richer type-specific operations (e.g. histogram on Image). Finally, the Graph type allows machine learning algorithms based around networks and graphical models (such as belief propagation) to be naturally expressed through iteration over vertices and edges.
This example highlights the usage of four OptiML control structures: untilconverged{..}, vector constructor (0::m){..}, matrix constructor (0::k,*){..}, and sum{..}. Unlike MATLAB functions, each of these control structures accepts any user-defined function that meets the requirements listed in Listing 1. The syntax “x =&gt; y” represents a function that takes a value x and returns a value y. untilconverged iterates until the difference between mu and newMu falls below a provided tolerance tol. vector constructor computes each value of the new c vector, which represents the closest cluster for each training sample. matrix constructor computes a new k × n Matrix by computing a new vector for each new cluster location.
The mapRows function is used to perform an operation on every row of a matrix in a concise
way.</t>
  </si>
  <si>
    <t>OptiML model</t>
  </si>
  <si>
    <t>new DSL; OptiML; syntax provided; built on top of a common runtime - Delite</t>
  </si>
  <si>
    <t>1, ML algorithm modeled in OptiML</t>
  </si>
  <si>
    <t xml:space="preserve">OptiML is a domain-specific language embedded in Scala. This means that OptiML implements its compiler in Scala, and OptiML programs are also valid Scala programs. Scala is a JVM-based language with advanced features for DSL embedding. OptiML uses a metaprogramming technique known as lightweight modular staging to build an intermediate representation of a program. Once the application is in this form, it becomes amenable to analysis and optimization. OptiML generates code by translating Intermediate representation nodes to their corresponding implementation in the target language. Currently, OptiML generates Scala, C++ and CUDA code. </t>
  </si>
  <si>
    <t>C++, Scala, CUDA</t>
  </si>
  <si>
    <t>Intermediate representation (model), code</t>
  </si>
  <si>
    <t>ML algorithm development</t>
  </si>
  <si>
    <t>provides a domain specific language for parallel ML, supports automated optimisation and execution</t>
  </si>
  <si>
    <t xml:space="preserve">performance (execution time) </t>
  </si>
  <si>
    <t>productivity; need to write less code</t>
  </si>
  <si>
    <t>Many useful machine learning algorithms and datasets are facing computational challenges and will require the use of state-of-the-art hardware. As the size of datasets continues to grow and hardware becomes even more parallel and heterogeneous, being able to exploit these hardware features will become essential. OptiML provides the link between ML applications and heterogeneous parallel hardware. We demonstrated the productivity of OptiML code with an ML application for robotics. We have shown that the OptiML compiler can perform domain-specific optimizations and generate efficient parallel code for heterogeneous devices without exposing any parallelism or device details to OptiML users. Finally, we presented experimental results showing that OptiML code outperformed explicitly parallelized MATLAB code on a heterogeneous system consisting of multicore CPUs and a GPU.</t>
  </si>
  <si>
    <t>DSL grammar not clearly defined, no industrial evaluation, only evaluated for k-means algorithm</t>
  </si>
  <si>
    <t xml:space="preserve">Motivation: the stateof-the-art tools for deep learning (e.g. Caffe, TensorFlow, and CNTK), are programming libraries with many dependencies and implemented in languages such as C++ that need to be compiled to a specific runtime environment and require users
to install the entire tool libraries for training or inference, which limits the portability of DL applications.
Goal: we introduce DeepDSL, a domain specific language (DSL) embedded in Scala, that compiles DL networks encoded with DeepDSL to efficient, compact, and portable Java source programs for DL training and inference. DeepDSL represents DL networks as abstract tensor functions, performs symbolic gradient derivations to generate Intermediate Representation (IR), optimizes the IR expressions, and translates the optimized IR expressions to Java code that runs on GPU without additional dependencies other than the necessary GPU libraries and the related invocation interfaces: a small set of JNI (Java Native Interface) wrappers. </t>
  </si>
  <si>
    <t>we developed DeepDSL a domain specific language embedded in Scala, for composing DL networks. 
1. DeepDSL represents DL network as expressions where tensor functions define DL layers, function compositions define DL networks, and indexed scalars define tensor expressions. Gradient derivation and optimization are based on term-rewriting rules that transform DSL expressions from one form to another. The optimized expressions are then scheduled to reduce peak memory usage before target code is generated. Before code generation, the DSL expressions are fully abstract, with distinct stages of symbolic evaluation, optimization, and memory management. The scalar, tensor, and tensor function expressions are the abstractions of the mathematical computations of a DL network and they do not have concrete bindings to actual computations before target code is generated. Languagebased representation is more flexible for optimization than the computation graphs, where parts of the graphs are tied to concrete data structures such as tensors and the graphs are executed by invocation of low-level code of a specific language such as C.
2. DeepDSL can statically detect errors such as incorrect network composition (as typing error) and report memory consumption at each computation step, Users can adjust the memory allocation strategy before execution. 
3. DeepDSL program is compiled to Java source code. Unlike other DL tools, compiled source program does not need to repeat the phase of gradient derivation and optimization. The runtime of initialization is not significant compared to the training time but it can be important when adjusting the parameters of a DL network on small datasets. 
4. The target code of DeepDSL is high-level source code that is human readable, customizable, and easy for debugging. The target code is more portable since it can run on any platforms with Java Virtual Machine (JVM) and GPU runtime library available.
Our experiments show DeepDSL outperforms existing tools in several benchmark programs adopted from the current mainstream Deep Neural Networks (DNNs).</t>
  </si>
  <si>
    <t>platform with Java Virtual Machine (JVM) and GPU runtime</t>
  </si>
  <si>
    <t>developers/ DL experts</t>
  </si>
  <si>
    <t>DSL, model to model transformer, model to text transformer</t>
  </si>
  <si>
    <t>core concepts of DeepDSL are abstract tensor and scalar expressions and tensor functions that transform tensors to tensors and tensors to scalars. DeepDSL directly encodes the mathematical representation of DL networks, where each layer is represented as a tensor function. The entire network is then represented as a composition of these functions. The training loss of a DL network is represented as a scalar expression. The gradients of the loss expression against network parameters are derived symbolically so that they are also DSL expressions.
The core concept in DeepDSL is tensor, which is represented by a Scala type Vec. A Vec object has an array of dimensions of the type Dim. Each dimension object is either a dimension variable DimVar or a dimension expression. 
Neural Network layers, training parameters, loops, loss expressions and more in the paper
DeepDSL is embedded in Scala and its syntax is defined using Scala classes and methods as syntactic sugar.</t>
  </si>
  <si>
    <t>DeepDSL model</t>
  </si>
  <si>
    <t>new DSL; DeepDSL; syntax/grammar provided; DeepDSL is embedded in Scala.</t>
  </si>
  <si>
    <t>1, NN model structure and/or training details model</t>
  </si>
  <si>
    <t>For each DNN, we generate a Java class. I The generated Java source program uses the DeepDSL Java API to call Cuda/Cudnn functions through JCuda. Two of the main classes in the Java API are JTensorFloat and JCudaTensor, which implement tensor computation in CPU and GPU respectively. The JTensorFloat class is responsible for storing training data, initializing network parameters, loading saved parameters from files, and saving trained parameters into files. performs symbolic gradient derivations to generate Intermediate Representation (IR), optimizes the IR expressions, and translates the optimized IR expressions to Java code that runs on GPU without additional dependencies other than the necessary GPU libraries and the related invocation interfaces: a small set of JNI (Java Native Interface) wrappers.</t>
  </si>
  <si>
    <t>DL model training, DL model inference, DL model development and design</t>
  </si>
  <si>
    <t>domain specific language to specify deep learning models and training, automated code generation and optimisation</t>
  </si>
  <si>
    <t>Experiments to compare with other DL libraries (Caffe and Tensorflow) with various DL models e.g. alexnet, resnet and 2 others</t>
  </si>
  <si>
    <t>not clearly mentioned in experiments, maybe MNIST</t>
  </si>
  <si>
    <t>runtime and memory performance</t>
  </si>
  <si>
    <t>We have designed and implemented DeepDSL for encoding deep learning networks to achieve training and testing goals. This DSL is simple for the users to use and modify, is portable for the DL code to run across platforms, and has competitive runtime and memory efficiency. 
DeepDSL generates Java source code. This provides several advantages compared to other DL libraries. The generated Java program is already optimized so that it does not incur lengthy startup time of other libraries, which must repeat the same preprocessing steps each time a DL program is launched. Also, the generated Java program has minimal dependencies and can run on all major operation systems such as Windows, OS X, and Linux, which make it far more portable than other DL libraries. Since it is compilation-based, DeepDSL can also statically detect programming errors and analyze memory consumption so that users can determine whether a DL network can be run on a platform before actually run it. The generated Java program is easy to debug using an IDE such as Eclipse and IntelliJ, where users can set break points and inspect intermediate results, which is very difficult for other DL libraries. 
The development of DeepDSL also demonstrated the utility of rule-based symbolic reduction in mathematical computation. The DeepDSL programs are encoded in objects that represent mathematical abstractions. The high-level optimization process, which includes gradient derivation, simplification, and vectorization, is entirely based on rule-based symbolic reduction, which is is easy to understand, implement, and enhance. The result of the high-level optimization remains a sequence of abstract computation steps, which is further improved upon by compilation-based optimization such as common subexpression elimination and by the low-level optimization such as inlining and in-place computation. The final result of optimization is a sequence of statements that directly correspond to function calls of the underlying libraries. The sequence of statements are scheduled based on their dependencies to achieve better memory efficiency before they are mapped to Java source code. 
DeepDSL is evaluated on convolutional neural networks.</t>
  </si>
  <si>
    <t>MDE approach is not evaluated properly, DL model is only evaluated in terms of performance and memory. No industrial evaluation. Not clear is approach is scalable</t>
  </si>
  <si>
    <t>As future directions, we plan to evaluate this approach on other types of neural networks such as generative adversary network, reinforcement learning networks, and recurrent neural networks. The static analysis of DeepDSL may also be used for supporting GPU
memory virtualization, where tensors can be temporarily moved from GPU memory to the main memory when they are not used and be copied back when they are needed in later computation.</t>
  </si>
  <si>
    <t xml:space="preserve">Motivation: Machine learning practitioners are increasingly interested in applying their algorithms to Big Data. However, there still is not a single platform that can capture the entire analytics pipeline for machine learning. Thus, it is common to compose multiple Pig, MPI and MapReduce programs into large work-flows. This fractioning of individual processing steps can be a major pain e.g., for optimization, debugging, and code readability.
Goal:Our prescription to this dilemma is a new DSL for data analytics called ScalOps. Like Pig, ScalOps combines the declarative style of SQL and the lowlevel procedural style of MapReduce. Like Spark, ScalOps can optimize its runtime—the Hyracks parallel-database engine [3]—for repeated access to data collections. </t>
  </si>
  <si>
    <t>1. We provide an explicit loop construct that captures the iteration in the runtime plan.
2. We use recursive query plans to execute iterations in a data-parallel runtime called Hyracks.
3. Hyracks is optimized for computations over both in-memory and external memory datasets.</t>
  </si>
  <si>
    <t>cloud environments</t>
  </si>
  <si>
    <t>developers/ML experts</t>
  </si>
  <si>
    <t>DSL, code generator/translator</t>
  </si>
  <si>
    <t>Listing 1 shows an implementation of this parallelized batch gradient descent in ScalOps. Line 1 defines a function bgd with the following parameters: the input data xy, the gradient function g (δwt in (1)), the learning rate e (η) and the regularization constant l (λ). Line 2 defines the body of the function to be a loop, which is ScalOps’ looping construct. It accepts three parameters: (a) Input state — here, we assume 1000 dimensions in the weight vector — (b) a “while” condition that (in this case 2 ) specifies a range (0 until 100) and (c) a loop body. The loop body is a function from input state to output state, which in this case is from a Vector w to its new value after the iteration. In the loop body, the gradient is computed for each data point via a map call and then summed up in a reduce call. Note that + is a scala shorthand for the function literal (x,y) =&gt; x+y.
Listing 2 shows an implementation of Pregel in ScalOps. Lines 1 and 2 define the Node and
Message classes the user would typically subclass for the algorithm in question. Line 4 defines the function pregel which accepts the following parameters: The Table nodes containing the Nodes of the graph and a function f that accepts a Node and a set of Messages to produce an updated Node and a new set of Messages to be processed in the next superstep. The function f is assumed to be defined for the case of no messages, e.g. the first iteration where it shall emit the unchanged Node and no messages. Line 5 declares the (currently empty) message Table to be used within the loop. In Line 7, the loop operator is used to form the Pregel main loop. Here, the loop is not defined over a set range of iterations as above, but a boolean expression indicating whether the message table is empty. Its initial value is set to false and the loop continues as long as it stays false as defined by (b: BooleanType) =&gt; !b. Note that BooleanType is not a Scala type, but one defined by ScalOps that extracts expression trees to be part of the query plan. This facilitates certain optimizations (see below). Different from the Batch Gradient Descent example, the loop body now consists of multiple statements to implement a Pregel superstep. In Line 8, the messages are grouped with their target nodes. In Line 9 the update function is applied to compute new nodes and messages, resulting in a Table[Node, Bag[Message]]. This Table is then split into the updated nodes and new messages in Lines 10 and 11. Lastly, Line 12 returns whether the message table is empty to the loop operator.</t>
  </si>
  <si>
    <t>ScalOps model</t>
  </si>
  <si>
    <t>new DSL; ScalOps internal to Scala</t>
  </si>
  <si>
    <t>1,  ML algorithm</t>
  </si>
  <si>
    <t xml:space="preserve"> through translation ScalOps model directly compiles to executable code</t>
  </si>
  <si>
    <t>Scala I think..?</t>
  </si>
  <si>
    <t>entire analytics pipeline for ML</t>
  </si>
  <si>
    <t>domain specific language for ML and translates code to be executed directly</t>
  </si>
  <si>
    <t>no evaluation only two examples</t>
  </si>
  <si>
    <t>ScalOps is a new internal domain-specific language (DSL) for Big Data analytics that targets machine learning and graph-based algorithms. It unifies the so-far distinct DAG processing as found in e.g. Pig and the iterative computation needs of machine learning in a single language and runtime. It exposes a declarative language that is reminiscent to Pig with iterative extensions. The loop block captures iteration in a recursive query plan so that it can be optimized for any given cloud environment. The Hyracks runtime directly supports these iterations as recursive data-parallel runtime plans, thereby avoiding the pitfalls of an outer driver loop. We highlighted the expressiveness of ScalOps by presenting two example implementations: Batch Gradient Descent—a trivially parallel algorithm—and Pregel, a computational framework of its own. The resulting code was nearly a 1:1 translation of the target mathematical description. 
ScalOps benefits from being a DSL internal to the Scala language, primary in terms of programmer productivity and code readability, but also in optimization opportunities. In Scala, programmers have access to all Java libraries and benefits of running on a JVM (ubiquity, administrative tools, profiling, garbage collection, etc.). ScalOps seamlessly integrates with well-known IDEs (Eclipse, NetBeans, etc.) thanks to the respective Scala plugins. ScalOps inherits a static type-checker from Scala; something foreign to many existing data-flow languages. ScalOps uses Scala closures to package user code for runtime execution. In Pig, this code would be external Java code that programmers would need to explicitly package and ship to the runtime. Moreover, Pig lacks visibility into this code and can not optimize for associativity and commutativity properties in the absence of explicit hints.</t>
  </si>
  <si>
    <t xml:space="preserve">No evaluation. DSL grammar/syntax details are missing, scalability not clear. Claims to support entire analytics pipeline for ML but no details about training and deployment </t>
  </si>
  <si>
    <t>Looking forward, we plan on adding asynchronous extensions and a graph API akin to GraphLab. Graph-based analytics shows the most promise in terms of benefiting from a recursive query infrastructure. Much of the looping support described here is needlessly verbose when the underlying runtime supports it natively. Frameworks like GraphLab expose just the right amount of API code, and capture ‘iteration” in the semantics. This leads to a natural recursive query representation of the GraphLab runtime but will first require the asynchronous extensions.</t>
  </si>
  <si>
    <t>Motivation: The modern deep learning method based on backpropagation has surged in popularity and has been used in multiple domains and application areas. At the same time, there are other – less-known – machine learning algorithms with a mature and solid theoretical foundation whose performance remains unexplored. One such example is the brain-like Bayesian Confidence Propagation Neural Network (BCPNN).
Goal: we introduce StreamBrain– a framework that allows neural networks based on BCPNN to be practically deployed in High-Performance Computing systems. StreamBrain is a domain-specific language (DSL), similar in concept to existing machine learning (ML) frameworks, and supports backends for CPUs, GPUs, and even FPGAs.</t>
  </si>
  <si>
    <t>we propose a high-level domain-specific language (DSL)/API to interface and use BCPNN for practical deployment in future supercomputers or data-centers. Contrary to prior BCPNN work (which focuses on its theory), the present paper focuses on how to map BCPNN in order to leverage modern state-of-the-art supercomputing resources and accelerators. We create a domain-specific language – conceptually similar to that of Keras [12] – that hosts functionality for creating, training, and inferring BCPNN-based neural networks. Our implementation, called StreamBrain, supports device heterogeneity, including (i) an OpenMP- or MPI-based [3], hand-vectorized general-purpose version, (ii) a highly-parallel GPU version based on the Compute Unified Device Architecture (CUDA), and (iii) a prototype for a Field-Programmable Gate Arrays (FPGA) version based on OpenCL [5] and High-Level Synthesis (HLS) on Intel devices, capable of using variable-precision numerical formats.
(i) StreamBrain, a Keras-inspired [12] DSL for implementation, evaluation, and deployment of BCPNN for use in future high-performance computers and data-centers
We empirically demonstrate that StreamBrain can train the well-known ML benchmark dataset MNIST within seconds, and we are the first to demonstrate BCPNN on STL-10 size networks. We also show how StreamBrain can be used to train with custom floating-point formats and illustrate the impact of using different bfloat variations on BCPNN using FPGAs.</t>
  </si>
  <si>
    <t>neural network</t>
  </si>
  <si>
    <t>High performance computing platforms with e.g. CPUs, GPUs, or even FPGAs.</t>
  </si>
  <si>
    <t>Bayesian Confidence Propagation Neural Network (BCPNN) applications</t>
  </si>
  <si>
    <t>DL experts</t>
  </si>
  <si>
    <t>framework, DSL, tool</t>
  </si>
  <si>
    <t>BCPNN network model, layers, arrays and tensor operations, training, evaluation</t>
  </si>
  <si>
    <t>StreamBrain model</t>
  </si>
  <si>
    <t>new DSL; StreamBrain described in Python</t>
  </si>
  <si>
    <t>1, neural network model with training and evaluation steps</t>
  </si>
  <si>
    <t>StreamBrain is described in Python with  support for multiple High performance computing backends (CPU, GPU, FPGA). VHDL code generated for FPGA by FloPoCo</t>
  </si>
  <si>
    <t>Very High-Speed Integrated Circuit Hardware Description Language (VHDL) code</t>
  </si>
  <si>
    <t>hardware code</t>
  </si>
  <si>
    <t>ML model design, training, inference, development</t>
  </si>
  <si>
    <t>StreamBrain is implemented in Python, leveraging NumPy where applicable for performance reasons.</t>
  </si>
  <si>
    <t>a domain specific language to describe BCPNN and directly train and evaluate the model</t>
  </si>
  <si>
    <t>MNIST and STL-10</t>
  </si>
  <si>
    <t>All compared for different hardware; Performance (execution time) for training and inference, test accuracy and speedup between different hardwares, precision, resource usage</t>
  </si>
  <si>
    <t>scalability</t>
  </si>
  <si>
    <t>We have introduced StreamBrain – a high-performance DSL
targeting the BCPNN model. We presented and evaluated four different backends on GPUs, FPGAs, and CPUs. We show how to train
MNIST as fast as 10 seconds, and showed results (for the first time)
on higher dimension problems such as STL-10. We also introduced
batching into BCPNN and showed that BCPNN could work with
low-precision arithmetic. Our contribution enables future exploration of BCPNN in HPC Computing.</t>
  </si>
  <si>
    <t>No industrial evaluation, only targets a very specific kind of neural network, does not consider responsible AI</t>
  </si>
  <si>
    <t>Motivation:  Manufacturing intelligence can be achieved using the data-driven insights and foresights derived from data analytics.  Such data analytics models endow
machines and products with the ability to autonomously and cooperatively execute data-driven planning, execution, and control. Similar to the data themselves, data analytics models should be created, processed, transmitted, used, and exchanged without restriction in a seamless model exchange environment. However, the OPC UA (open platform communications unified architecture) companion specifications ensuring the interoperability of data analytics models across heterogeneous devices and systems have not been published or released yet.
Goal: an OPC UA-compliant interface for data analytics models to enable model interoperability for manufacturing intelligence.</t>
  </si>
  <si>
    <t xml:space="preserve">-Interoperable manufacturing intelligence complementarily with the OPC UA data interface
-enable OPC UA integration for data and model interoperability
-provide a unique model exchange environment across industries
-enable model transaction on 1- N server client applications
-operate independently of commercial data analysis tools
-increase flexibility of PMML by adding data content over the stationary PMML schema </t>
  </si>
  <si>
    <t>supervised ML (regression) and neural networks</t>
  </si>
  <si>
    <t>cyber-physical production systems</t>
  </si>
  <si>
    <t>domain experts</t>
  </si>
  <si>
    <t>modeling language extension, code generator, tool, data generator</t>
  </si>
  <si>
    <t>regression model - which is inherited from the abstract “model element” type. The “model type” is identified through the choice of a model type from the enumeration values. “Function name” specifies a mining function for which a value must be chosen from the values of the “MINING-FUNCTION” enumeration type. Suppose that “linearRegression” is chosen as the model type. outputType, modelStatsType, modelverificationType, LocalTransformationType, PredictorTerm name and coefficient, Normalization method and more.
neural network model - also inherited from the abstract “model element” type. This DSIM differs from that of the regression model by its structure. The “model element” abstract type contains the common elements including mining schema, output (a set of result values returned from models), model statistics (variable statistics), model explanation (explanatory details of models), model verification (dataset and result for verifying models), targets (properties of the result values), and local transformation (normalization, discretization, value mapping, text indexing, functions, and aggregation). Inputs, Layers, types of layers, model, algorithm, activation function, bias, width and more in model</t>
  </si>
  <si>
    <t>neural network domain model and regression domain model</t>
  </si>
  <si>
    <t>predictive model markup language (PMML)</t>
  </si>
  <si>
    <t xml:space="preserve">multiple, data analytics models (Neural network or regression) </t>
  </si>
  <si>
    <t xml:space="preserve"> UA Code Generator (version 4.0.0) for the OPC UA class code generation</t>
  </si>
  <si>
    <t>code, data, PMML documents, PMML objects</t>
  </si>
  <si>
    <t>model training, model development, design, data generation for training</t>
  </si>
  <si>
    <t>Yes, generates code for training/ dataset loading, Generates training data from a simulator/data generator</t>
  </si>
  <si>
    <t>Weka</t>
  </si>
  <si>
    <t>domain model to model concepts, automated code generation and mapping and transformation to another model (OPC-UA)</t>
  </si>
  <si>
    <t>yes, explainability (but no details available in study)</t>
  </si>
  <si>
    <t>case study - milling machine</t>
  </si>
  <si>
    <t>N/A generates data from a simulator</t>
  </si>
  <si>
    <t>Eclipse Oxygen for Java programming,  JPMML SDK for the PMML document handling, UA Modeler (version 1.6.2) for the OPC UA modeling, Prosys OPC UA simulation server (version 3.2.0) as the data simulator, Prosys OPC UA SDK for Java (version 4.0.0) as the server and client.</t>
  </si>
  <si>
    <t>for regression model and NN model - root mean square error (RMSE), relative absolute error (RAE)</t>
  </si>
  <si>
    <t>processing time (i.e., modeling, PMML generation, interpretation, transformations)</t>
  </si>
  <si>
    <t>This article proposed an OPC UA-compliant interface for data analytics models to allow interoperable manufacturing intelligence. In the model design, the mapping rules were defined to match the PMML schema with the OPC UA model structures
and protocols. The base- and domain-specific models for PMML were designed for the specifics of the regression and NN models.
For the function implementation, the prototype system was designed and implemented to exchange the OPC UA-compliant PMML models in an OPC UA server–client.
The contribution of this study is the implementation of a cross-domain interface between CPPS and manufacturing systems via the exchange of OPC UA-compliant PMML models.
An additional contribution is the implementation of model interoperability for the OPC UA, which currently covers data interoperability in industrial domains.</t>
  </si>
  <si>
    <t>However, the present work has several limitations. Our models are neither verified nor validated with accredited organizations. The conformance and reliability of our models remains challenging. Moreover, the designed models only include regression and NN models, but the remaining 15 models (e.g., Naïve Bayes, SVM, etc.) existing in the current PMML schema are excluded. Another limitation is the use of a data simulator that only produces controlled data. Real data generators from actual machines generate not only specific but also uncontrolled, erroneous, and missing data, thus making it more difficult to create machine-specific predictive models.</t>
  </si>
  <si>
    <t>Approach does not seem scalable since partial automation only. No industrial case study, hyper parameters for training are not mentioned, also not included in the model</t>
  </si>
  <si>
    <t xml:space="preserve"> Future research directions include the following:
1) verification and validation of our models;
2) extension of our modeling to the remaining data analytics models;
3) implementation of a more realistic environment using actual machines and their data;
4) implementation of a fully interoperable manufacturing intelligence based on OPC UA, taking into consideration the vertical, horizontal, and value chain aspects of manufacturing systems.</t>
  </si>
  <si>
    <t>Motivation: GPUs play a major role in scientific computations, and in neural network training and inference.With evolving architectures, high performing linear algebra kernels have to be written and tuned for every GPU architecture. Current trend is to manually write these kernels for each individual architecture in GPU’s assembly-level language (SASS), and hand tune them for the best performance. This involves significant and continuous manual effort.
There are exponentially many possible combinations of sub-computational sequences to be
optimized, making it impractical to manually write and handtune all possible combinations. Further, there are several use cases (especially in ML), where it is important to specialize
implementation of these kernels for specific problem sizes. This heavily motivates the need to automate the process of generating efficient kernels for these computations.
Goal: a domain specific language compiler that automatically generates efficient code for computations involving basic linear algebra and neural net operations.</t>
  </si>
  <si>
    <t>Diesel is a domain specific language compiler that automatically generates efficient code for computations involving basic linear algebra and neural net operations. Diesel takes
the user expressions in a simple language (whose grammar is shown in Sec. 3), and generates an efficient CUDA code corresponding to the input expressions. Diesel also exposes these functionalities as a set of API’s allowing it to be integrated with other tools. The key contributions include
• a user-friendly interface that allows users to express a sequence of BLAS and neural net computations using an intuitive grammar,
• auto-generate efficient GPU device functions (or kernels) for different operations with minimal user interaction,
• generate efficient GPU kernels for different operations, whose performances are comparable to standard libraries,
• allow easy tuning of parameters, such as tilesizes, manually or through an autotuner, and automatically produce kernels corresponding to different configurations,
• produce efficient fused kernels for a sequence of operations.</t>
  </si>
  <si>
    <t>High performance computing platform with GPUs</t>
  </si>
  <si>
    <t>DSL, code generator</t>
  </si>
  <si>
    <t>sets, maps, iterations, access functions, schedule, data dependencies, params, matrix, code gen function, expressions, statements
dsl : decls stmts codegen;
decls : /*empty*/ | decls decl;
decl : 'Params' param_list ';' | inp_mat ';';
param_list : VAR | param_list ',' VAR;
inp_mat : mat_decl mat_dim | mat_decl mat_param
mat_decl : 'Matrix' VAR
mat_dim : '(' NUM ',' NUM ')'
mat_param : '(' VAR ',' VAR ')';
stmts : /*empty*/ | stmts stmt;
stmt : VAR '=' expr ';';
expr : VAR
| expr '+' expr
| expr '-' expr
| expr '*' expr
| expr TRANS | '(' expr ')'
| pointwise '(' expr ')';
pointwise : RELU | SIGMOID | TANH;
codegen : /*empty*/
| 'CodeGen' '(' type ','
'{' out_mat_list '}'')' ';';
type : 'INT' | 'HALF'
| 'FLOAT' | 'DOUBLE';
out_mat_list : VAR | out_mat_list ',' VAR;</t>
  </si>
  <si>
    <t>Diesel model (linear algebra and neural network model)</t>
  </si>
  <si>
    <t>new DSL; Diesel; grammar/syntax provided</t>
  </si>
  <si>
    <t>1, linear algebra and neural network model with training details</t>
  </si>
  <si>
    <t xml:space="preserve">The final schedule, after application of several transformations is represented in the form of a schedule tree [2]. A device function is created corresponding to each high-level loop nest. Grid sizes and threadblock sizes are derived by analyzing the bounds of parallel schedule dimensions. During code generation, the loops that are marked for distribution are replaced with appropriate CUDA variables (such as blockIdx.y, etc), and the remaining loops and statements are printed within the body of the device function.code generator </t>
  </si>
  <si>
    <t>CUDA</t>
  </si>
  <si>
    <t>code, schedule tree</t>
  </si>
  <si>
    <t>training, inference</t>
  </si>
  <si>
    <t>Describes matrix with dataset dimension for space required to hold data</t>
  </si>
  <si>
    <t>DSL to model domain concepts, code generator to generate code</t>
  </si>
  <si>
    <t xml:space="preserve">speedup using Diesel compared to directly writing code </t>
  </si>
  <si>
    <t>We presented a domain specific language compiler, Diesel, to generate efficient CUDA kernels for linear algebra operations. Diesel accepts basic linear algebra and neural net expressions in an intuitive form, and generates a corresponding efficient CUDA code. Diesel internally uses machineries from polyhedral techniques to perform optimizations in an abstract form, thus eliminating the need to manually optimize each kernel. Further, several domain specific optimizations are performed to achieve high performance. The experimental results show that the performance of the kernels generated by Diesel for individual operations are comparable to the performance provided by standard libraries. Further, when provided with a sequence of operations, Diesel generates an efficient fused kernel thus eliminating redundant data transfers, and achieving better performance.</t>
  </si>
  <si>
    <t>Scalability not mentioned, dataset for evaluation not mentioned, training parameters not mentioned, no industrial evaluation</t>
  </si>
  <si>
    <t xml:space="preserve">users with little statistical programming and fairness in machine learning experience, data scientists </t>
  </si>
  <si>
    <t>accuracy, mean_difference, average_odds_difference, lines of code, generation time execution time</t>
  </si>
  <si>
    <t xml:space="preserve">TensorFlow Lite and the TensorFlow Lite for microcontrollers </t>
  </si>
  <si>
    <t>model-driven data management framework, event-based retraining pipeline, code generator</t>
  </si>
  <si>
    <t>framework/existing approach extension, discreteaction simulation environments for RL, model to model transformer</t>
  </si>
  <si>
    <t>framework extension, code generator</t>
  </si>
  <si>
    <t>Applying Machine Learning and Model-Driven Approach for the Identification and Diagnosis Of Covid-19</t>
  </si>
  <si>
    <t xml:space="preserve">DSL, API for MARL algorithms, model to model transformer </t>
  </si>
  <si>
    <t>Goal of the Study</t>
  </si>
  <si>
    <t xml:space="preserve">What type of ML systems are considered in the study? </t>
  </si>
  <si>
    <t>standardization</t>
  </si>
  <si>
    <t>cyber-physical systems</t>
  </si>
  <si>
    <t>DSL</t>
  </si>
  <si>
    <t>ML model/training code</t>
  </si>
  <si>
    <t>abstraction</t>
  </si>
  <si>
    <t>not specified</t>
  </si>
  <si>
    <t>software engineers</t>
  </si>
  <si>
    <t>traditional supervised learning</t>
  </si>
  <si>
    <t>framework</t>
  </si>
  <si>
    <t>software model</t>
  </si>
  <si>
    <t>extendability</t>
  </si>
  <si>
    <t>integration</t>
  </si>
  <si>
    <t>data analysts/engineers/scientists</t>
  </si>
  <si>
    <t>model generator</t>
  </si>
  <si>
    <t>responsible ML</t>
  </si>
  <si>
    <t>automation</t>
  </si>
  <si>
    <t>support non ML experts</t>
  </si>
  <si>
    <r>
      <rPr>
        <sz val="10"/>
        <color theme="1"/>
        <rFont val="Arial"/>
        <family val="2"/>
      </rPr>
      <t xml:space="preserve">Seamlessly </t>
    </r>
    <r>
      <rPr>
        <b/>
        <sz val="10"/>
        <color theme="1"/>
        <rFont val="Arial"/>
        <family val="2"/>
      </rPr>
      <t>monitors</t>
    </r>
    <r>
      <rPr>
        <sz val="10"/>
        <color theme="1"/>
        <rFont val="Arial"/>
        <family val="2"/>
      </rPr>
      <t xml:space="preserve"> and </t>
    </r>
    <r>
      <rPr>
        <b/>
        <sz val="10"/>
        <color theme="1"/>
        <rFont val="Arial"/>
        <family val="2"/>
      </rPr>
      <t>manages</t>
    </r>
    <r>
      <rPr>
        <sz val="10"/>
        <color theme="1"/>
        <rFont val="Arial"/>
        <family val="2"/>
      </rPr>
      <t xml:space="preserve"> ML and non-ML based system components,  assesses the trustworthiness of ML based components, and adapts the system to mitigate the use of ML based components in untrusted contexts. Overall, enables stakeholders to have more confidence that the system is used only in contexts comparable to those validated at design time.</t>
    </r>
  </si>
  <si>
    <t>monitoring</t>
  </si>
  <si>
    <t>system management</t>
  </si>
  <si>
    <t>text generator</t>
  </si>
  <si>
    <t>deployment configurations/files</t>
  </si>
  <si>
    <t>system engineers</t>
  </si>
  <si>
    <t>big data analytics</t>
  </si>
  <si>
    <t>API code</t>
  </si>
  <si>
    <t>modeling language extension</t>
  </si>
  <si>
    <t>interoperability</t>
  </si>
  <si>
    <t>smart homes</t>
  </si>
  <si>
    <t>formal methods analysts</t>
  </si>
  <si>
    <t>reusability</t>
  </si>
  <si>
    <t>wireless communication</t>
  </si>
  <si>
    <t>Our approach enables the standardization of dataset description, providing a structured format, users can precisely describe machine learning datasets in terms of their structure, data provenance, and social concerns. 
Moreover, once the dataset is modeled using our DSL, it can then be manipulated with any of the existing model-driven engineering tools and techniques, such as model management [12] and model transformation [13] tools, opening the door to a number of (semi)automated application scenarios. To mention a few of them, we could: (i) check the quality and completeness of existing datasets – e.g., the quality of their labeling processes – ; (ii) compare datasets targeting the same domain to highlight their differences – e.g., comparing the infrastructure used to obtain the data –; (iii) search the most suitable dataset based on the requirements of the ML projects – e.g., searching for a dataset compliant with specific social concerns, such as specific demographic – starting what, in the future, could become a dataset marketplace; (iv) generate other artifacts – documentation, code, etc. – from the dataset description; or (v) facilitate the replication of ML research results by better mimicking the conditions of the datasets used in the experiment when the same ones are unavailable — e.g., medical experiments where data has privacy concerns.
Plugin enables users to import and annotate existing datasets while supporting all standard modern language features, such as autocompletion, syntax highlights, and code snippets, to name a few.</t>
  </si>
  <si>
    <t>modeling approach</t>
  </si>
  <si>
    <t>mobile</t>
  </si>
  <si>
    <t>text files/documents</t>
  </si>
  <si>
    <t>traffic signal control</t>
  </si>
  <si>
    <t>data management</t>
  </si>
  <si>
    <t>maintenance</t>
  </si>
  <si>
    <t>data analytics</t>
  </si>
  <si>
    <t>satellite communication</t>
  </si>
  <si>
    <t>a novel model-driven data management framework for iteratively growing datasets and integrated an automated continuous retraining routine into this. The presented concepts enable us to deal with growing datasets and to store resulting training data efficiently and were integrated into the MontiAnna framework. Saves storage resources and training time while preserving or improving the model quality.</t>
  </si>
  <si>
    <t>manufacturing</t>
  </si>
  <si>
    <t>common language</t>
  </si>
  <si>
    <t>This paper presents an approach to deal with the distributed knowledge of ML. Specifically, it aims to create a repository with rules that help to decide which ML algorithms are suitable to solve a given problem. For this, a common language for modeling this knowledge is proposed. Such a language is stated in form of a metamodel that a computer program can process. In addition, a procedure to transfer these models to a unified knowledge store is described. This store will enable exploiting the knowledge of the distributed sources to make decisions with less risk. This paper presents an approach to deal with the distributed knowledge of ML. Specifically, it aims to create a repository with rules that help to decide which ML algorithms are suitable to solve a given problem. For this, a common language for modeling this knowledge is proposed. Such a language is stated in form of a metamodel that a computer program can process. In addition, a procedure to transfer these models to a unified knowledge A Unified Model Representation of Machine Learning Knowledge 335 store is described. This store will enable exploiting the knowledge of the distributed sources to make decisions with less risk and will make it possible to maintain the traceability of terms mappings to their knowledge source. So that relationships between terms and representative terms can be changed if an inconsistency is subsequently detected. Furthermore, each knowledge source is weighted, which will allow establishing differences between the recommendations according to their origin. This results in a unified knowledge store, which allows an external user to obtain an algorithm recommendation depending on the specific characteristics of her ML problem. For this, she compares the representative characteristics with those of her problem and, according to its values, some of the rules are fired with a weight associated with the knowledge source. Although all these rules may recommend an algorithm, only the one that takes greater weight is selected.</t>
  </si>
  <si>
    <t>distributed systems</t>
  </si>
  <si>
    <t>the application of the DevOps paradigms to meta-learning, where devs are data scientists and ops algorithms portfolio maintainers. We proposed to generate Machine Learning Pipelines based on a set of preprocessing and learning algorithms without executing them
when possible, saving time and resources. a model-driven approach that relies on the definition of carefully chosen abstractions can support both devs and ops in this domain.
In the context of machine learning, contrarily to the blackbox approaches that only exposes a result, relying on models supports the explainability of the decisions to the user, supporting devs (who know why a given pipeline was chosen) and ops (who knows why an experiment is more valuable than another and should be prioritized)
we showed that pre- and post-conditions highly reduce the space of consistent pipelines and are crucial to support the scalability of the approach.</t>
  </si>
  <si>
    <t>high performance computing</t>
  </si>
  <si>
    <t>reliability</t>
  </si>
  <si>
    <t>there are many domain experts in various fields who could benefit from Model-Driven Engineering to build machine learning software but have neither the expertise nor resources required. We hoped that MDE could help address this shortfall.</t>
  </si>
  <si>
    <t>recommendation rules/queries</t>
  </si>
  <si>
    <t>knowledge base</t>
  </si>
  <si>
    <t>business analysts</t>
  </si>
  <si>
    <t>deployment configurations/code</t>
  </si>
  <si>
    <t xml:space="preserve">Motivation: —Machine learning improves the development of selfadaptive systems, i.e., to react to unforeseen situations. However, state-of-the-art smart home platforms lack the ability to integrate machine learning models directly into their knowledge base. While there are machine learning approaches for smart home environments, they are usually not integrated nor represented in the middleware of smart environments. Instead, they rely on
data obtained previously and use it in a form prepared for a single use case. 
Goal: our aim is to extend existing middleware platforms to integrate machine learning algorithms as first-class concepts of the knowledge base. To achieve this, we employ relational Reference Attribute Grammars to design and implement an integrated runtime model, where machine learning models can be represented and related to elements of the extended knowledge base, e.g., physical entities, location, users, and activities. Consequently, this enables using a state-of-the art middleware to build a self-adaptive system, which integrates machine learning algorithms enabling both context-awareness and self-awareness. </t>
  </si>
  <si>
    <t>meta-modeling language</t>
  </si>
  <si>
    <t>meta model</t>
  </si>
  <si>
    <t xml:space="preserve">we proposed an approach to generate an NN to predict performance
metrics for manufacturing processes. This approach provides capabilities to collect the
required manufacturing knowledge and to use that knowledge to build NN models to predict the performance metrics for different values of the process parameters. This can
be used to optimize performance by finding the best values for the process parameters. Part of that approach is developing a manufacturing meta-model. The metamodel allows manufacturing engineers to provide a set of the most important process
parameters – those have the most impact on performance – in a manufacturing model.
In addition to this meta-model, we implemented an NN model builder to automatically
build an NN model from a manufacturing model and data provided by manufacturing
engineers. The NN model builder provides 1) a feature-selection algorithm based on
the test data and 2) an NN model generator that generates the structure of the NN. From
the generated NN structure, an NN model interpreter produces a trained NN in a
standard format. Using a scoring engine, the trained NN can then be used to predict the
quantity of interest.
We illustrated the capabilities of our implementation using a realistic manufacturing
scenario. This paper presented an initial description and implementation of an approach to
generate predictive models for manufacturing applications. We implemented a
translator (the NN model builder) to generate neural networks automatically. </t>
  </si>
  <si>
    <t>OCL constraints</t>
  </si>
  <si>
    <t>data synthesizer</t>
  </si>
  <si>
    <t>dataset/subset of dataset</t>
  </si>
  <si>
    <t>Are human-centric aspects or human values considered in the study?</t>
  </si>
  <si>
    <t>Modeling language new, old or extended?</t>
  </si>
  <si>
    <t>What is the type of model(s)? e.g. data models, requirements models, design models, business process models etc.?</t>
  </si>
  <si>
    <t>Type of models?</t>
  </si>
  <si>
    <t>Model Level</t>
  </si>
  <si>
    <t>Model Type</t>
  </si>
  <si>
    <t>Studies</t>
  </si>
  <si>
    <t>MATLAB</t>
  </si>
  <si>
    <t>Model-Driven Deep learning Framework (MoDLF) model</t>
  </si>
  <si>
    <t>new DSL</t>
  </si>
  <si>
    <t>design model</t>
  </si>
  <si>
    <t>ML model design, training and testing</t>
  </si>
  <si>
    <t>PIM</t>
  </si>
  <si>
    <t>requirements model</t>
  </si>
  <si>
    <t>P3, P14, P18, P33, P35, P39</t>
  </si>
  <si>
    <t>fairness</t>
  </si>
  <si>
    <t>Fair Machine Learning (FairML) model</t>
  </si>
  <si>
    <t>data preperation and model training</t>
  </si>
  <si>
    <t>P1, P2, P4, P5, P6, P7, P8, P9, P11, P12, P13, P15, P16, P17, P19, P22, P23, P24, P25, P26, P27, P28, P29, P30, P31, P33, P34, P35, P36, P37, P38, P39, P40, P41, P42, P43, P44, P45, P46</t>
  </si>
  <si>
    <t>trust</t>
  </si>
  <si>
    <t>Learning Enabled Component Keep All Objectives Satisfied (LEC KAOS) models</t>
  </si>
  <si>
    <t>existing modeling language KAOS</t>
  </si>
  <si>
    <t>requirements specification, monitoring and maintenance of ML components</t>
  </si>
  <si>
    <t>existing modeling language</t>
  </si>
  <si>
    <t>CIM</t>
  </si>
  <si>
    <t>process model</t>
  </si>
  <si>
    <t>P32, P35</t>
  </si>
  <si>
    <t>Learning Enabled Component Goal Structuring Notation (LEC GSN) models</t>
  </si>
  <si>
    <t>existing modeling language GSN</t>
  </si>
  <si>
    <t>design-time and run-time validation, inference</t>
  </si>
  <si>
    <t>feature model</t>
  </si>
  <si>
    <t>PSM</t>
  </si>
  <si>
    <t>Deeplearning4J feature model</t>
  </si>
  <si>
    <t>existing modeling language Feature Modeling Language</t>
  </si>
  <si>
    <t xml:space="preserve">complete ML pipeline </t>
  </si>
  <si>
    <t>extension of existing DSL</t>
  </si>
  <si>
    <t>entity model</t>
  </si>
  <si>
    <t>Deeplearning4J feature realization model</t>
  </si>
  <si>
    <t>existing modeling language UML</t>
  </si>
  <si>
    <t>dataset model</t>
  </si>
  <si>
    <t>P8, P10, P12, P38, P39</t>
  </si>
  <si>
    <t>extension of existing DSL MoniAnna</t>
  </si>
  <si>
    <t>ML model design and training</t>
  </si>
  <si>
    <t xml:space="preserve">design model </t>
  </si>
  <si>
    <t>artifact model</t>
  </si>
  <si>
    <t>P11, P35</t>
  </si>
  <si>
    <t>PMML</t>
  </si>
  <si>
    <t>Machine Learning Behavior Monitoring model</t>
  </si>
  <si>
    <t>ML system deployment and monitoring, ML model inference</t>
  </si>
  <si>
    <t>Neural Network Design model</t>
  </si>
  <si>
    <t>PIM,PSM</t>
  </si>
  <si>
    <t>deployment model</t>
  </si>
  <si>
    <t>design models, dataset model</t>
  </si>
  <si>
    <t>ML model design, ML model training, data preperation</t>
  </si>
  <si>
    <t>other</t>
  </si>
  <si>
    <t>Machine Learning Modeling Language (ML-Quadrant) model</t>
  </si>
  <si>
    <t>existing modeling language ML-Quadrant</t>
  </si>
  <si>
    <t>C</t>
  </si>
  <si>
    <t>IoT sensors model</t>
  </si>
  <si>
    <t>IoT predictive maintenance model</t>
  </si>
  <si>
    <t>Describe Machine Learning Datasets (DescribeML) model</t>
  </si>
  <si>
    <t>documentation</t>
  </si>
  <si>
    <t>artifact model, design model</t>
  </si>
  <si>
    <t>ML model training, MLmodel design, development, deployment and evolution (continuous integration/continuous retraining)</t>
  </si>
  <si>
    <t xml:space="preserve">design models, dataset model </t>
  </si>
  <si>
    <t>ML model design, training, retraining, model deployment</t>
  </si>
  <si>
    <t>design models</t>
  </si>
  <si>
    <t>data preprocessing, data storage, ML model development, deployment, evaluation, management</t>
  </si>
  <si>
    <t>Dataset requirements concept model (DRCM)</t>
  </si>
  <si>
    <t xml:space="preserve">dataset requirements specification and preperation </t>
  </si>
  <si>
    <t>Machine Learning Knowledge (MLKnowledge) model</t>
  </si>
  <si>
    <t>ML knowledge base</t>
  </si>
  <si>
    <t>Machine Learning Pipeline and Portfolio model</t>
  </si>
  <si>
    <t>ML pipeline, ML knowledge base</t>
  </si>
  <si>
    <t>API</t>
  </si>
  <si>
    <t>Machine Learning Inference model</t>
  </si>
  <si>
    <t>Action and Decision Goal model</t>
  </si>
  <si>
    <t>existing modeling language iStar</t>
  </si>
  <si>
    <t xml:space="preserve">ML model training </t>
  </si>
  <si>
    <t>Machine Learning Application Placement model</t>
  </si>
  <si>
    <t>ML model design</t>
  </si>
  <si>
    <t>Smart Home Entity Model</t>
  </si>
  <si>
    <t>existing modeling language Reference Attribute Grammars</t>
  </si>
  <si>
    <t>Probabilistic Graphical model for Big Data Analytics</t>
  </si>
  <si>
    <t>extension of existing DSL ThingML</t>
  </si>
  <si>
    <t xml:space="preserve">ML model development, training and deployment </t>
  </si>
  <si>
    <t>Micro Learning and Domain model</t>
  </si>
  <si>
    <t>ML model development, ML model integration</t>
  </si>
  <si>
    <t>Social Bot model</t>
  </si>
  <si>
    <t>existing modeling language SyncMeta</t>
  </si>
  <si>
    <t>ML developement</t>
  </si>
  <si>
    <t>TypeScript</t>
  </si>
  <si>
    <t>Prediction problem (PP) model</t>
  </si>
  <si>
    <t>ML training, ML model development, ML model evaluation</t>
  </si>
  <si>
    <t>Deep Learning Lifecycle Data Management (LDM) model</t>
  </si>
  <si>
    <t>Meta Model Machine Learning for Ubiquitous Application (3ML4UA) model</t>
  </si>
  <si>
    <t>Generic Artificial Neural Network model</t>
  </si>
  <si>
    <t>this study also gives a dsl but not for ML</t>
  </si>
  <si>
    <t>XML</t>
  </si>
  <si>
    <t>explainability</t>
  </si>
  <si>
    <t>Agent-based Modeling and Simulation (DSL4ABMS) model</t>
  </si>
  <si>
    <t>RL component development</t>
  </si>
  <si>
    <t>Neural Network model</t>
  </si>
  <si>
    <t>existing modeling language JSON</t>
  </si>
  <si>
    <t xml:space="preserve">ML model deployment, integration, ML model maintenance </t>
  </si>
  <si>
    <t>CIM,PIM,PSM</t>
  </si>
  <si>
    <t>Dataflow-driven Process model</t>
  </si>
  <si>
    <t>ML pipeline</t>
  </si>
  <si>
    <t>Subset of SysML (subSysML) model</t>
  </si>
  <si>
    <t>extension of existing DSL SysML</t>
  </si>
  <si>
    <t>ML model design, integration</t>
  </si>
  <si>
    <t>Restricted Natural Language Requirement (RNLReq) model</t>
  </si>
  <si>
    <t>requirements specification</t>
  </si>
  <si>
    <t>NetLogo</t>
  </si>
  <si>
    <t>Data mining knowledge base (DMKB) model</t>
  </si>
  <si>
    <t>PLC code</t>
  </si>
  <si>
    <t>Big Data Analytics Modeling Language (BiDaML) model</t>
  </si>
  <si>
    <t>requirements model, process model, design model, artifact model</t>
  </si>
  <si>
    <t>Neural Network for Manufacturing model</t>
  </si>
  <si>
    <t>ML model design, development, training</t>
  </si>
  <si>
    <t>Machine Learning Operations (MLOps) model</t>
  </si>
  <si>
    <t>ARFF</t>
  </si>
  <si>
    <t>Base Station Anomaly and Classification Problem model</t>
  </si>
  <si>
    <t>design model, dataset model</t>
  </si>
  <si>
    <t>Natural Language</t>
  </si>
  <si>
    <t>Software Engineering Methodology for the Knowledge management of Intelligent Systems (SEMKIS-DSL) model</t>
  </si>
  <si>
    <t>requirements models, dataset model, design model</t>
  </si>
  <si>
    <t>requirements specification, ML model design and development, training, testing and data generation</t>
  </si>
  <si>
    <t>new DSL built on Elixir</t>
  </si>
  <si>
    <t>new DSL built on Delite</t>
  </si>
  <si>
    <t>ML model development</t>
  </si>
  <si>
    <t>new DSL built on Scala</t>
  </si>
  <si>
    <t>ML model training, ML model inference, ML model design</t>
  </si>
  <si>
    <t>Cypher</t>
  </si>
  <si>
    <t>new DSL built on Python</t>
  </si>
  <si>
    <t>ML model design and development, training, inference</t>
  </si>
  <si>
    <t>Neural Network domain model</t>
  </si>
  <si>
    <t>existing modeling language PMML</t>
  </si>
  <si>
    <t>ML model training, model development, design, data generation</t>
  </si>
  <si>
    <t>Regression domain model</t>
  </si>
  <si>
    <t xml:space="preserve">Diesel model </t>
  </si>
  <si>
    <t>ML model training, inference</t>
  </si>
  <si>
    <t>Scala</t>
  </si>
  <si>
    <t>VHDL</t>
  </si>
  <si>
    <t>Examples and/or case studies  in the study, academic or industrial?</t>
  </si>
  <si>
    <t>Is data for the tools in the study available?</t>
  </si>
  <si>
    <t>What are the datasets used for evaluation?</t>
  </si>
  <si>
    <t>What metrics are used for evaluation of ML system?
N/A - no evaluation
not mentioned - no metric mentioned</t>
  </si>
  <si>
    <t>What metrics are used to evaluate the MDE approach?
N/A - no evaluation
not mentioned - no metric mentioned</t>
  </si>
  <si>
    <t>Limitaion</t>
  </si>
  <si>
    <t>Future Challenges</t>
  </si>
  <si>
    <t>Future challenge details</t>
  </si>
  <si>
    <t>Scalability unclear</t>
  </si>
  <si>
    <t>Adult dataset</t>
  </si>
  <si>
    <t>range</t>
  </si>
  <si>
    <t>lines of code</t>
  </si>
  <si>
    <t>No usability study</t>
  </si>
  <si>
    <t xml:space="preserve">generation of hardware code </t>
  </si>
  <si>
    <t>more platform support</t>
  </si>
  <si>
    <t>dataset not mentioned</t>
  </si>
  <si>
    <t>precision</t>
  </si>
  <si>
    <t>generation time</t>
  </si>
  <si>
    <t>model to model transformation</t>
  </si>
  <si>
    <t>ENLIL model generator used</t>
  </si>
  <si>
    <t>Ethical/Human requirements ignored</t>
  </si>
  <si>
    <t>further explore integration with EAST-ADL/AUTOSAR</t>
  </si>
  <si>
    <t>integration with tools</t>
  </si>
  <si>
    <t>not clearly mentioned maybe MNIST, Iris dataset, and
TinyImageNet</t>
  </si>
  <si>
    <t>execution time</t>
  </si>
  <si>
    <t>TouchCore modeling tool and code generator, TouchCore built on top of EMF</t>
  </si>
  <si>
    <t>Approach is not generic, only for DL4J API, no industrial evaluation, no user study, no human aspects considered, no mention of scalability</t>
  </si>
  <si>
    <t>Limited code generation</t>
  </si>
  <si>
    <t>Add OCL constraints, for detailed transformations</t>
  </si>
  <si>
    <t>loss</t>
  </si>
  <si>
    <t>No industrial evaluation</t>
  </si>
  <si>
    <t>correctness</t>
  </si>
  <si>
    <t xml:space="preserve">Optimise generated code </t>
  </si>
  <si>
    <t xml:space="preserve">optimize generated code </t>
  </si>
  <si>
    <t>mean difference</t>
  </si>
  <si>
    <t>average odds difference</t>
  </si>
  <si>
    <t>Manual configurations required</t>
  </si>
  <si>
    <t>Increase robustness of ML component, consider more complex scenarios</t>
  </si>
  <si>
    <t>consider complex scenarios (robustness)</t>
  </si>
  <si>
    <t>Langium language workbench to create a plugin for Visual Studio Code</t>
  </si>
  <si>
    <t>scalability unclear</t>
  </si>
  <si>
    <t>Training data not considered</t>
  </si>
  <si>
    <t>MNIST, Book_corpus_wiki_en_uncased dataset provided by GluonNLP</t>
  </si>
  <si>
    <t>Only supports supervised learning, generative adversarial networks and reinforcement learning (DQN, DDPG, TD3), no industrial evaluation, no usability study, no human aspects considered, code generation from reference models details missing, scalability unclear</t>
  </si>
  <si>
    <t>confusion matrix</t>
  </si>
  <si>
    <t>expressiveness</t>
  </si>
  <si>
    <t>usefulness</t>
  </si>
  <si>
    <t xml:space="preserve">Unclear how UML is used with the new DSL, no human aspects, approach seems complex. No usability study. No relation between dataset and DL model. Is the dataset in the right structure to be fed to the DL model? </t>
  </si>
  <si>
    <t>library dependent</t>
  </si>
  <si>
    <t>extenstion to include more features/broader scope</t>
  </si>
  <si>
    <t>reduced complexity</t>
  </si>
  <si>
    <t>support for partial ML pipeline</t>
  </si>
  <si>
    <t>add more features</t>
  </si>
  <si>
    <t>speed-dating, iris and texture dataset</t>
  </si>
  <si>
    <t xml:space="preserve">These pre and post conditions depend on the number of meta-features and can be improved by adding more meta-feature types and extending constraints expressiveness. In particular, one of our short-term objective is to look at how dataset generation strategies might allow improving the pre- and post-conditions of preprocessings [3] and extending them to automatically take new algorithms into account generating their pre and postconditions. We are currently working on machine learning environments such as OpenML [18] to automatically extract cross-constraints (e.g., dominated algorithms [2]). To facilitate the addition of such cross-constraints by humans, we aim to build a Domain Specific Language dedicated to ML experts. </t>
  </si>
  <si>
    <t xml:space="preserve">play-by play pitching statistics from the 2016 and 2017 MLB seasons of the Cincinnati Reds, New York Yankees, New York Mets, and Toronto Blue Jays. </t>
  </si>
  <si>
    <t>i* framework, DTGolog, Prolog,</t>
  </si>
  <si>
    <t>OpenAI Gym</t>
  </si>
  <si>
    <t>single error can defeat the purpose of the approach</t>
  </si>
  <si>
    <t>training time</t>
  </si>
  <si>
    <t>number of generated pipelines</t>
  </si>
  <si>
    <t>REFIT House/Building 1 dataset, a single-family dwelling with two inhabitants (a couple).</t>
  </si>
  <si>
    <t>generated code quality</t>
  </si>
  <si>
    <t>EMF, Xtext, Xtend, Java Process Builder API</t>
  </si>
  <si>
    <t>Limited ML algorithms supported</t>
  </si>
  <si>
    <t>mean absolute error</t>
  </si>
  <si>
    <t>flexibility</t>
  </si>
  <si>
    <t>The management of models and the transformation of models to bots is realized by a microservice architecture backend with RESTful services that meet the OpenAPI specification.</t>
  </si>
  <si>
    <r>
      <rPr>
        <sz val="10"/>
        <color theme="1"/>
        <rFont val="Arial"/>
        <family val="2"/>
      </rPr>
      <t xml:space="preserve">The number of training units depends on the respective training set and the deep-learning technology. These steps require some kind of expertise, so for training a bot with
deep learning techniques on “newly generated” training sets, </t>
    </r>
    <r>
      <rPr>
        <sz val="10"/>
        <color rgb="FFFF0000"/>
        <rFont val="Arial"/>
        <family val="2"/>
      </rPr>
      <t>domain experts or data scientists are required.</t>
    </r>
  </si>
  <si>
    <t>Increase abstraction</t>
  </si>
  <si>
    <t>more features</t>
  </si>
  <si>
    <t>DL LDM TOOL</t>
  </si>
  <si>
    <t>extenstion to include more actions/broader scope</t>
  </si>
  <si>
    <t>support to modify deployed ML monitoring systems</t>
  </si>
  <si>
    <t>f1 measure</t>
  </si>
  <si>
    <t>Xtext, Xtend language, Eclipse, EMF, ANTLR</t>
  </si>
  <si>
    <t>weak evaluation</t>
  </si>
  <si>
    <t>Model more neural networks</t>
  </si>
  <si>
    <t>support more ML models</t>
  </si>
  <si>
    <t>Transformations in ATL</t>
  </si>
  <si>
    <t>no industrial evaluation</t>
  </si>
  <si>
    <t>add support for code generation into python and R</t>
  </si>
  <si>
    <t>code generation for more languages</t>
  </si>
  <si>
    <t>conformance to guidelines</t>
  </si>
  <si>
    <t>r2 score</t>
  </si>
  <si>
    <t>Xpand template language, ATL, Eclipse EMF ECore, ABStractme</t>
  </si>
  <si>
    <t>Netlogo for RL</t>
  </si>
  <si>
    <t>no usability study</t>
  </si>
  <si>
    <t>code generators for more languages</t>
  </si>
  <si>
    <t>execution latency</t>
  </si>
  <si>
    <t>modeling time</t>
  </si>
  <si>
    <t>CINCO Language Workbench, EMF, PYRO</t>
  </si>
  <si>
    <t>integration of analysis tools</t>
  </si>
  <si>
    <t>reduced effort/ increased productivity</t>
  </si>
  <si>
    <t>Eclipse, Acceleo, EMF</t>
  </si>
  <si>
    <r>
      <rPr>
        <sz val="10"/>
        <color theme="1"/>
        <rFont val="Arial"/>
        <family val="2"/>
      </rPr>
      <t xml:space="preserve">several experiments need to be conducted by the expert to build the knowledge base, very time consuming, requires a lot of effort. Scalability unclear, </t>
    </r>
    <r>
      <rPr>
        <sz val="10"/>
        <color rgb="FFFF0000"/>
        <rFont val="Arial"/>
        <family val="2"/>
      </rPr>
      <t>novice data miner may not know which performance measure to choose e.g. accuracy, f1 measure etc.</t>
    </r>
    <r>
      <rPr>
        <sz val="10"/>
        <color theme="1"/>
        <rFont val="Arial"/>
        <family val="2"/>
      </rPr>
      <t xml:space="preserve"> No industrial evaluation</t>
    </r>
  </si>
  <si>
    <t>limited data processing supported</t>
  </si>
  <si>
    <t>evaluation in various scenarios</t>
  </si>
  <si>
    <t>extend evaluation</t>
  </si>
  <si>
    <t>Ames housing dataset and industrial case study</t>
  </si>
  <si>
    <t>add support for collaborative training of ML model</t>
  </si>
  <si>
    <t>area under ROC curve</t>
  </si>
  <si>
    <t xml:space="preserve">
"mentioned with future work, meta-models and translators do not account
for most other parameters and constraints that affect manufacturing processes"</t>
  </si>
  <si>
    <t xml:space="preserve">Only supports neural networks, unclear how hyper parameters are set/modified..requires manual effort/configurations. Which ML libraries are used? scalability unclear. no industrial evaluation. no metrics mentioned for current academic evaluation. don't understand the need for the manufacturing model, user can directly specify features that affect the quality being predicted. How is the ML model evaluated? accuracy/precision etc of the generated ML model is never checked?
</t>
  </si>
  <si>
    <t>number of words</t>
  </si>
  <si>
    <t>Eclipse EMF, kubernetes, Ethereum blockchain in synergy with Solidity smart contracts</t>
  </si>
  <si>
    <t>add support for uncertainities in datasets</t>
  </si>
  <si>
    <t>number of characters</t>
  </si>
  <si>
    <t>support for expressing commercial usage and distribution aspects in datasets</t>
  </si>
  <si>
    <t>Eclipse, Xtext, XTEND</t>
  </si>
  <si>
    <r>
      <rPr>
        <sz val="10"/>
        <color theme="1"/>
        <rFont val="Arial"/>
        <family val="2"/>
      </rPr>
      <t xml:space="preserve">No human aspects/responsible AI considered. Only generates skeleton code and requires manual effort, MDE approach not evaluated, </t>
    </r>
    <r>
      <rPr>
        <sz val="10"/>
        <color rgb="FFFF0000"/>
        <rFont val="Arial"/>
        <family val="2"/>
      </rPr>
      <t>unclear how hyper parameters are extracted from non-functional requirements and optimised before augmenting dataset.</t>
    </r>
    <r>
      <rPr>
        <sz val="10"/>
        <color theme="1"/>
        <rFont val="Arial"/>
        <family val="2"/>
      </rPr>
      <t xml:space="preserve"> No industrial evaluation</t>
    </r>
  </si>
  <si>
    <t>support to describe ML models</t>
  </si>
  <si>
    <t>resource usage</t>
  </si>
  <si>
    <t>C++ library called AI-toolbox</t>
  </si>
  <si>
    <t>reverse engineer datasets from natural language</t>
  </si>
  <si>
    <t>effectiveness</t>
  </si>
  <si>
    <t xml:space="preserve">NumPy </t>
  </si>
  <si>
    <t xml:space="preserve">N/A </t>
  </si>
  <si>
    <t>completeness</t>
  </si>
  <si>
    <r>
      <rPr>
        <sz val="10"/>
        <color theme="1"/>
        <rFont val="Arial"/>
        <family val="2"/>
      </rPr>
      <t>Approach does not seem scalable since partial automation only. No industrial case study, h</t>
    </r>
    <r>
      <rPr>
        <sz val="10"/>
        <color rgb="FFFF0000"/>
        <rFont val="Arial"/>
        <family val="2"/>
      </rPr>
      <t>yper parameters for training are not mentioned, also not included in the model</t>
    </r>
  </si>
  <si>
    <t>further evaluation to generalize results</t>
  </si>
  <si>
    <t>unclear which ML models are supported</t>
  </si>
  <si>
    <t>improve consistency between data and ML models</t>
  </si>
  <si>
    <t>desirability</t>
  </si>
  <si>
    <t>implement configurable retrain methods</t>
  </si>
  <si>
    <t>learnability</t>
  </si>
  <si>
    <t>Build a textual DSL and synchroniz with the graphical one</t>
  </si>
  <si>
    <t>build a DSL</t>
  </si>
  <si>
    <t>improve transformations</t>
  </si>
  <si>
    <t>not scalable</t>
  </si>
  <si>
    <t>add support for more functional and non-functional reqs in the meta-model</t>
  </si>
  <si>
    <t>further evaluation</t>
  </si>
  <si>
    <t>support for dataset production, assessment and deployment</t>
  </si>
  <si>
    <t>complex cases not considered</t>
  </si>
  <si>
    <t>add tool generation support</t>
  </si>
  <si>
    <t>tool support</t>
  </si>
  <si>
    <t>prediction error</t>
  </si>
  <si>
    <t>extended tracability support</t>
  </si>
  <si>
    <t>add support for complex cases</t>
  </si>
  <si>
    <t>root mean square error</t>
  </si>
  <si>
    <t>adding a recommender</t>
  </si>
  <si>
    <t>significant manual effort required</t>
  </si>
  <si>
    <t>adding support for more meta-features, extending constraints expressiveness</t>
  </si>
  <si>
    <t>automated constraint extraction</t>
  </si>
  <si>
    <t>improve data processing support</t>
  </si>
  <si>
    <t>user study</t>
  </si>
  <si>
    <t>perform user study</t>
  </si>
  <si>
    <t>comparison with existing approaches</t>
  </si>
  <si>
    <t>mean relative error</t>
  </si>
  <si>
    <t>perform evaluation</t>
  </si>
  <si>
    <t xml:space="preserve">support for continious state spaces </t>
  </si>
  <si>
    <t>full automation support</t>
  </si>
  <si>
    <t>use/evaluation on real-time scanarios</t>
  </si>
  <si>
    <t>add support for other algorithms like genetic progarmming</t>
  </si>
  <si>
    <t>more evaluations</t>
  </si>
  <si>
    <t>add reusability support</t>
  </si>
  <si>
    <t>support for more libraries and software packages</t>
  </si>
  <si>
    <t>inference time</t>
  </si>
  <si>
    <t>relative absolute error</t>
  </si>
  <si>
    <t>extend approach with AutoML</t>
  </si>
  <si>
    <t>add support for more data processing</t>
  </si>
  <si>
    <t>add support for more ML algorithms</t>
  </si>
  <si>
    <t>add support for more programming languages and platforms</t>
  </si>
  <si>
    <t>evaluating use on more use cases with GPU</t>
  </si>
  <si>
    <t>support for more ML algorithms</t>
  </si>
  <si>
    <t>add features/extend approach</t>
  </si>
  <si>
    <t>integration with other systems</t>
  </si>
  <si>
    <t>interoperability support</t>
  </si>
  <si>
    <t xml:space="preserve">extend work for anomaly detection with deep learning </t>
  </si>
  <si>
    <t xml:space="preserve">support for real time adaptability and reconfigurability </t>
  </si>
  <si>
    <t>adaptability support</t>
  </si>
  <si>
    <t xml:space="preserve">support for optimal algorithm selection </t>
  </si>
  <si>
    <t>approach lacks rigour</t>
  </si>
  <si>
    <t>textual DSL support</t>
  </si>
  <si>
    <t>add code generation for more platforms</t>
  </si>
  <si>
    <t>unclear if training data is considered</t>
  </si>
  <si>
    <t>prototype only</t>
  </si>
  <si>
    <t>usability study</t>
  </si>
  <si>
    <t>add features</t>
  </si>
  <si>
    <t>support for more ML models</t>
  </si>
  <si>
    <t xml:space="preserve">more evaluations </t>
  </si>
  <si>
    <t>extend evaluations</t>
  </si>
  <si>
    <t>support more platforms and programming languages</t>
  </si>
  <si>
    <t>support for model checking</t>
  </si>
  <si>
    <t>ethical/Human requirements ignored</t>
  </si>
  <si>
    <t>optimisation of code</t>
  </si>
  <si>
    <t xml:space="preserve">add recommenders </t>
  </si>
  <si>
    <t>support for data preprocessing</t>
  </si>
  <si>
    <t>development of crowdsourcing techniques for collaboration</t>
  </si>
  <si>
    <t>web based support</t>
  </si>
  <si>
    <t>recommender support</t>
  </si>
  <si>
    <t>accessability limitation of tool</t>
  </si>
  <si>
    <t>integrations with other tools</t>
  </si>
  <si>
    <t>support for more analytical techniques</t>
  </si>
  <si>
    <t>extend meta model and add more features</t>
  </si>
  <si>
    <t>manual configurations required</t>
  </si>
  <si>
    <t xml:space="preserve">support for more translators </t>
  </si>
  <si>
    <t>extend for more complx scenarios</t>
  </si>
  <si>
    <t>support for more sophisticted ML mechanisms</t>
  </si>
  <si>
    <t>support for optimal resource allocation</t>
  </si>
  <si>
    <t>optimal resource allocation</t>
  </si>
  <si>
    <t xml:space="preserve">support for more modeling concepts </t>
  </si>
  <si>
    <t>industrial evaluation</t>
  </si>
  <si>
    <t>support for more frameworks</t>
  </si>
  <si>
    <t>add more concepts in the meta model/extend language</t>
  </si>
  <si>
    <t>evaluate scalability</t>
  </si>
  <si>
    <t>enhance scalability</t>
  </si>
  <si>
    <t>support for static analysis</t>
  </si>
  <si>
    <t>add support for asynchronus extensions and API for graph based analytics</t>
  </si>
  <si>
    <t>more interoperability support</t>
  </si>
  <si>
    <t xml:space="preserve">none mentioned </t>
  </si>
  <si>
    <t>ID</t>
  </si>
  <si>
    <t>QA1</t>
  </si>
  <si>
    <t>QA2</t>
  </si>
  <si>
    <t>QA3</t>
  </si>
  <si>
    <t>QA4</t>
  </si>
  <si>
    <t>QA5</t>
  </si>
  <si>
    <t>Sum</t>
  </si>
  <si>
    <t>Ranking</t>
  </si>
  <si>
    <t>NA</t>
  </si>
  <si>
    <t>Eval/Ranking</t>
  </si>
  <si>
    <t>Poor</t>
  </si>
  <si>
    <t>Good</t>
  </si>
  <si>
    <t>With Eval</t>
  </si>
  <si>
    <t>0-14</t>
  </si>
  <si>
    <t>15-19</t>
  </si>
  <si>
    <t>20-25</t>
  </si>
  <si>
    <t>Without eval</t>
  </si>
  <si>
    <t>0-4</t>
  </si>
  <si>
    <t>Counts</t>
  </si>
  <si>
    <t>PUBLISHED YEAR</t>
  </si>
  <si>
    <t>CITATION COUNTS</t>
  </si>
  <si>
    <t>Table 1</t>
  </si>
  <si>
    <t>Type of Study</t>
  </si>
  <si>
    <t>Count</t>
  </si>
  <si>
    <t>TYPE OF STUDY</t>
  </si>
  <si>
    <t>Table 2</t>
  </si>
  <si>
    <t>Source Type</t>
  </si>
  <si>
    <t>Year</t>
  </si>
  <si>
    <t>Conference/Symposium</t>
  </si>
  <si>
    <t>Total</t>
  </si>
  <si>
    <t>What is the motivation/goal behind the presented approach?</t>
  </si>
  <si>
    <t>What ML techniques does the study target? These can be Deep learning, reinforcement learning etc.</t>
  </si>
  <si>
    <t xml:space="preserve">What software platform(s) does the study target? </t>
  </si>
  <si>
    <t>Table 3</t>
  </si>
  <si>
    <t>Table 4</t>
  </si>
  <si>
    <t>Table 5 (1 to N)</t>
  </si>
  <si>
    <t>Table 6</t>
  </si>
  <si>
    <t>Goal of study</t>
  </si>
  <si>
    <t>sub-Goal of Study</t>
  </si>
  <si>
    <t>ML Techniques</t>
  </si>
  <si>
    <t>Target platform</t>
  </si>
  <si>
    <t>Target domain</t>
  </si>
  <si>
    <t>domain for chart</t>
  </si>
  <si>
    <t>effort reduction</t>
  </si>
  <si>
    <t>Generic machine learning</t>
  </si>
  <si>
    <t>Autonomous vehicles</t>
  </si>
  <si>
    <t>Unsupervised machine learning</t>
  </si>
  <si>
    <t>Supervised machine learning</t>
  </si>
  <si>
    <t>traditional ML</t>
  </si>
  <si>
    <t>Big data analytics</t>
  </si>
  <si>
    <t>traditional &amp; NNs</t>
  </si>
  <si>
    <t>increased stakeholder understanding</t>
  </si>
  <si>
    <t>support non-ML experts</t>
  </si>
  <si>
    <t>Reinforcement learning</t>
  </si>
  <si>
    <t>quatity improvement</t>
  </si>
  <si>
    <t>extensibility</t>
  </si>
  <si>
    <t>network planning</t>
  </si>
  <si>
    <t>Data analytics</t>
  </si>
  <si>
    <t>Manufacturing</t>
  </si>
  <si>
    <t>Network planning</t>
  </si>
  <si>
    <t>Satellite communication</t>
  </si>
  <si>
    <t>Smart homes</t>
  </si>
  <si>
    <t>Social bots</t>
  </si>
  <si>
    <t>Traffic signal control</t>
  </si>
  <si>
    <t>Venn diagram</t>
  </si>
  <si>
    <t>code gen</t>
  </si>
  <si>
    <t>P2, P5, P7, P8, P9, P11, P12, P13, P14, P16, P17, P19, P20, P22, P23, P24, P27, P28, P30, P31, P32, P34, P37, P38, P39, P43, P44, P45, P46</t>
  </si>
  <si>
    <t>text gen</t>
  </si>
  <si>
    <t xml:space="preserve">P6, P10, P15, P21, P26, P36, </t>
  </si>
  <si>
    <t>model gen</t>
  </si>
  <si>
    <t xml:space="preserve">P18, P29, P33, P40, </t>
  </si>
  <si>
    <t>code + model</t>
  </si>
  <si>
    <t xml:space="preserve">P1, P4, P25, P41, P42, </t>
  </si>
  <si>
    <t>code + text</t>
  </si>
  <si>
    <t xml:space="preserve">P35, </t>
  </si>
  <si>
    <t>model + text</t>
  </si>
  <si>
    <t xml:space="preserve">P3, </t>
  </si>
  <si>
    <t>What are the final outcomes of the study?</t>
  </si>
  <si>
    <t>Word cloud from Title, motivation and goals</t>
  </si>
  <si>
    <t>Who are the target users of the approach in the study?</t>
  </si>
  <si>
    <t>Table 8 (1 to N)</t>
  </si>
  <si>
    <t>Table 7 (1 to N)</t>
  </si>
  <si>
    <t>Contribution of Study</t>
  </si>
  <si>
    <t>Main end user</t>
  </si>
  <si>
    <t>Target end user</t>
  </si>
  <si>
    <t>ML expert</t>
  </si>
  <si>
    <t>ML</t>
  </si>
  <si>
    <t>P5, P6, P7, P8, P10, P12, P15, P16, P18, P34, P37, P38, P40, P41, P42, P43, P44, P46</t>
  </si>
  <si>
    <t>EA</t>
  </si>
  <si>
    <t xml:space="preserve">P3, P4, P9, P19, P20, P23, P27, P29, P31, P33, P39, </t>
  </si>
  <si>
    <t>Tool</t>
  </si>
  <si>
    <t>M2T transformer</t>
  </si>
  <si>
    <t>engineers and analysts</t>
  </si>
  <si>
    <t>DE</t>
  </si>
  <si>
    <t>P17, P21, P26, P45</t>
  </si>
  <si>
    <t>ML+EA</t>
  </si>
  <si>
    <t xml:space="preserve">P1, P2, P11, P13, P14, P22, </t>
  </si>
  <si>
    <t>M2M transformer</t>
  </si>
  <si>
    <t>ML+DE</t>
  </si>
  <si>
    <t xml:space="preserve">P24, P25, P32, P36, </t>
  </si>
  <si>
    <t>DE+EA</t>
  </si>
  <si>
    <t xml:space="preserve">P28, P30, </t>
  </si>
  <si>
    <t>domain expert</t>
  </si>
  <si>
    <t>ML+EA+DE</t>
  </si>
  <si>
    <t>meta-modeling langauge</t>
  </si>
  <si>
    <t>Venn Diagram</t>
  </si>
  <si>
    <t>ER Only</t>
  </si>
  <si>
    <t>23 - P4,  P5,  P6, P9, P12, P13, P18, P20, P21, P22, P27, P29, P30, P31, P33, P37, P38, P40, P41, P42, P43, P44, P46</t>
  </si>
  <si>
    <t>ISU Only</t>
  </si>
  <si>
    <t>1 - P15</t>
  </si>
  <si>
    <t>QI Only</t>
  </si>
  <si>
    <t>2 - P26, P45</t>
  </si>
  <si>
    <t>ER + ISU</t>
  </si>
  <si>
    <t>9 - P14, P17, P24, P28, P32, P34, P35, P36, P39</t>
  </si>
  <si>
    <t>ER + QI</t>
  </si>
  <si>
    <t xml:space="preserve">10 - P1, P3, P7, P8, P10, P11, P16, P19, P23, P25, </t>
  </si>
  <si>
    <t>ISU +QI</t>
  </si>
  <si>
    <t>ER + ISU +QI</t>
  </si>
  <si>
    <t xml:space="preserve">1 - P2, </t>
  </si>
  <si>
    <t>Are the models expressed visually or textually?</t>
  </si>
  <si>
    <t>What is the automation level supported by the transformations in the study?</t>
  </si>
  <si>
    <t>What are the MDE phases considered in this study?</t>
  </si>
  <si>
    <t>What is the usability of the generated code?</t>
  </si>
  <si>
    <t>Table 9</t>
  </si>
  <si>
    <t>Table 10</t>
  </si>
  <si>
    <t>Table 11</t>
  </si>
  <si>
    <t>Table 12</t>
  </si>
  <si>
    <t>Model Expression Type</t>
  </si>
  <si>
    <t>Percentage</t>
  </si>
  <si>
    <t>Automation Level</t>
  </si>
  <si>
    <t>MDE Phases Considered</t>
  </si>
  <si>
    <t>Usability of Generated Code</t>
  </si>
  <si>
    <t>Graphical</t>
  </si>
  <si>
    <t>Fully Automated</t>
  </si>
  <si>
    <t>M2M &amp; M2T</t>
  </si>
  <si>
    <t>Full</t>
  </si>
  <si>
    <t>Texutal</t>
  </si>
  <si>
    <t>Partially Automated</t>
  </si>
  <si>
    <t>Partial</t>
  </si>
  <si>
    <t xml:space="preserve">Graphical &amp; Textual </t>
  </si>
  <si>
    <t>M2M</t>
  </si>
  <si>
    <t>Add venn diagram</t>
  </si>
  <si>
    <t>What is the completeness of the generated artifacts?</t>
  </si>
  <si>
    <t>What is the language of the generated code/text?</t>
  </si>
  <si>
    <t>Table 13</t>
  </si>
  <si>
    <t>Table 14</t>
  </si>
  <si>
    <t>Completeness of generated artifacts</t>
  </si>
  <si>
    <t>Language of Generated Text</t>
  </si>
  <si>
    <t>Partially complete</t>
  </si>
  <si>
    <t>Complete</t>
  </si>
  <si>
    <t>Level</t>
  </si>
  <si>
    <t>Unified Knowledge store definition</t>
  </si>
  <si>
    <t>Does the MDE approach in the study consider responsible AI characteristics?</t>
  </si>
  <si>
    <t>Does the approach consider human aspects?</t>
  </si>
  <si>
    <t>Table 15 (1 to N)</t>
  </si>
  <si>
    <t>Table 16</t>
  </si>
  <si>
    <t>Responsible AI characteristsics</t>
  </si>
  <si>
    <t>Are Human aspects modeled?</t>
  </si>
  <si>
    <t>Table 17 (1 to N)</t>
  </si>
  <si>
    <t>Artifact</t>
  </si>
  <si>
    <t>Trust</t>
  </si>
  <si>
    <t>Explainability</t>
  </si>
  <si>
    <t>Other</t>
  </si>
  <si>
    <t>None</t>
  </si>
  <si>
    <t>meta-model</t>
  </si>
  <si>
    <t>Are Human/Responsible ML aspects modeled?</t>
  </si>
  <si>
    <t>recommendation rules/ queries</t>
  </si>
  <si>
    <t>P2, P3, P7, P10, P27, P31, P33, P35, P45</t>
  </si>
  <si>
    <t>P1, P4, P5, P6, P8, P9, P11, P12, P13, P14, P15, P16, P17, P18, P19, P20, P21, P22, P23, P24, P25, P26, P28, P29, P30, P32, P34, P36, P37, P38, P39, P40, P41, P42, P43, P44, P46</t>
  </si>
  <si>
    <t>What aspects of ML component development does the study support?</t>
  </si>
  <si>
    <t>Is the modeling language in the study new, old or an extension?</t>
  </si>
  <si>
    <t>What aspects of ML component development does the study support and what are the domain models used?</t>
  </si>
  <si>
    <t>Does the study propose a new modeling language, an extension or use an existing one?
What are the type of models created in the study?</t>
  </si>
  <si>
    <t>Table 18 (1 to N)</t>
  </si>
  <si>
    <t>Table 19</t>
  </si>
  <si>
    <t>Table 20 (1 to N)</t>
  </si>
  <si>
    <t>Table 21</t>
  </si>
  <si>
    <t>ML aspects</t>
  </si>
  <si>
    <t>No. of Studies</t>
  </si>
  <si>
    <t>Domain models</t>
  </si>
  <si>
    <t>Type of Model</t>
  </si>
  <si>
    <t>Requirements Engineering</t>
  </si>
  <si>
    <t xml:space="preserve">New DSL </t>
  </si>
  <si>
    <t>Requirements specification/ analysis</t>
  </si>
  <si>
    <t>Data generation</t>
  </si>
  <si>
    <t>Extension of existing DSL</t>
  </si>
  <si>
    <t>Data preprocessing</t>
  </si>
  <si>
    <t>existing generic modeling language</t>
  </si>
  <si>
    <t>Data Storage</t>
  </si>
  <si>
    <t>Data Visualisation</t>
  </si>
  <si>
    <t>Design &amp; development</t>
  </si>
  <si>
    <t>Evaluation</t>
  </si>
  <si>
    <t>Language Extension</t>
  </si>
  <si>
    <t>Integration</t>
  </si>
  <si>
    <t>GPL</t>
  </si>
  <si>
    <t>Deployment</t>
  </si>
  <si>
    <t>Data preperation</t>
  </si>
  <si>
    <t>Inference</t>
  </si>
  <si>
    <t>Monitoring</t>
  </si>
  <si>
    <t>Management</t>
  </si>
  <si>
    <t>Documentation</t>
  </si>
  <si>
    <t>Pipeline development</t>
  </si>
  <si>
    <t>Model design and development</t>
  </si>
  <si>
    <t>P5, P8, P11, P12</t>
  </si>
  <si>
    <t>P9, P22</t>
  </si>
  <si>
    <t>What type of models are used in the study?</t>
  </si>
  <si>
    <t>Table 22</t>
  </si>
  <si>
    <t xml:space="preserve"> </t>
  </si>
  <si>
    <t>analysis model, design model</t>
  </si>
  <si>
    <t>Model inference</t>
  </si>
  <si>
    <t>requirments model, process model, design model, artifact model</t>
  </si>
  <si>
    <t>Model training</t>
  </si>
  <si>
    <t>What is the usability of the approach presented in the study?</t>
  </si>
  <si>
    <t>Table X</t>
  </si>
  <si>
    <t>Practically Usable</t>
  </si>
  <si>
    <t>Can't say</t>
  </si>
  <si>
    <t>Model evaluation</t>
  </si>
  <si>
    <t>UKS (new lang)</t>
  </si>
  <si>
    <t>Model deployment</t>
  </si>
  <si>
    <t>P11, P12</t>
  </si>
  <si>
    <t>Run-time Monitoring of ML model</t>
  </si>
  <si>
    <t>ML pipeline development</t>
  </si>
  <si>
    <t>ML knowledge base development</t>
  </si>
  <si>
    <t>How is the study evaluated?</t>
  </si>
  <si>
    <t>Target area of study?</t>
  </si>
  <si>
    <t>Do the studies provide any tools?</t>
  </si>
  <si>
    <t>Is the data for the tools available e.g. configurations, setup files etc?</t>
  </si>
  <si>
    <t>Table 24</t>
  </si>
  <si>
    <t>Table 25</t>
  </si>
  <si>
    <t>Table 26</t>
  </si>
  <si>
    <t>Table 27</t>
  </si>
  <si>
    <t>Evaluation Technique</t>
  </si>
  <si>
    <t>Target area of study</t>
  </si>
  <si>
    <t>Tools</t>
  </si>
  <si>
    <t>Tool Availability /Data for tool</t>
  </si>
  <si>
    <t>Available</t>
  </si>
  <si>
    <t>Not available</t>
  </si>
  <si>
    <t>Case study</t>
  </si>
  <si>
    <t>Academia</t>
  </si>
  <si>
    <t>Open Source Tool</t>
  </si>
  <si>
    <t>Open source tool</t>
  </si>
  <si>
    <t>Industry</t>
  </si>
  <si>
    <t>Proprietary Tool</t>
  </si>
  <si>
    <t>Proprietary tool</t>
  </si>
  <si>
    <t>Criteria-based Assesment</t>
  </si>
  <si>
    <t>Academia &amp; Industry</t>
  </si>
  <si>
    <t>No Tool Mentioned</t>
  </si>
  <si>
    <t>No Tool</t>
  </si>
  <si>
    <t>No Evaluation</t>
  </si>
  <si>
    <t>What are the metrics used to evaluate the ML model/component?</t>
  </si>
  <si>
    <t>What are the metrics used to evaluate the MDE approach?</t>
  </si>
  <si>
    <t>Eval metric super type</t>
  </si>
  <si>
    <t>Evaluation Metric</t>
  </si>
  <si>
    <t>Classification metrics</t>
  </si>
  <si>
    <t>Quality metrics</t>
  </si>
  <si>
    <t>f1 score</t>
  </si>
  <si>
    <t>conciseness</t>
  </si>
  <si>
    <t>Regression metrics</t>
  </si>
  <si>
    <t xml:space="preserve">prediction error </t>
  </si>
  <si>
    <t xml:space="preserve">root mean square error </t>
  </si>
  <si>
    <t>Time &amp; resource metrics</t>
  </si>
  <si>
    <t>Time and resource metrics</t>
  </si>
  <si>
    <t>Code metrics</t>
  </si>
  <si>
    <t>Fairness metrics</t>
  </si>
  <si>
    <t>No metrics for study</t>
  </si>
  <si>
    <t xml:space="preserve">A) Classification metrics B) Regression metrics C) Time and resource metrics D) Fairness metrics E) No metrics 					
					</t>
  </si>
  <si>
    <t>No metrics</t>
  </si>
  <si>
    <t xml:space="preserve">A) Quality metrics B) Time and resource metrics C) Code metrics D) No metrics </t>
  </si>
  <si>
    <t>What are the modeling frameworks, meta-tools and transformers used in the studies?</t>
  </si>
  <si>
    <t>What are the ML frameworks/libraries used in the studies?</t>
  </si>
  <si>
    <t>Is the MDE approach in the study scalable?</t>
  </si>
  <si>
    <t>Modeling frameworks, tools and transformers</t>
  </si>
  <si>
    <t>ML frameworks/ libraries</t>
  </si>
  <si>
    <t>Scalability</t>
  </si>
  <si>
    <t>Modeling framework</t>
  </si>
  <si>
    <t>Eclipse modeling framework (EMF)</t>
  </si>
  <si>
    <t>P1, P2, P4, P6, P7, P9, P14, P22, P27, P28, P30, P32, P33, P34, P37</t>
  </si>
  <si>
    <t>AI-toolbox</t>
  </si>
  <si>
    <t>Langium</t>
  </si>
  <si>
    <t>Caffe</t>
  </si>
  <si>
    <t>P8, P11, P12</t>
  </si>
  <si>
    <t>MontiAnna/MontiArc framework</t>
  </si>
  <si>
    <t>xText</t>
  </si>
  <si>
    <t>P9, P22, P27, P28, P39</t>
  </si>
  <si>
    <t>P20, P28</t>
  </si>
  <si>
    <t>Generic Modeling Environment (GME)</t>
  </si>
  <si>
    <t>P13, P36</t>
  </si>
  <si>
    <t>P17, P21</t>
  </si>
  <si>
    <t>JastAdd</t>
  </si>
  <si>
    <t>P1, P22</t>
  </si>
  <si>
    <t>GreyCat (extension of Kevoree modeling framework)</t>
  </si>
  <si>
    <t>MXNET</t>
  </si>
  <si>
    <t>P25, P38</t>
  </si>
  <si>
    <t>Neuroph</t>
  </si>
  <si>
    <t xml:space="preserve">Meta object facility (MOF) framework </t>
  </si>
  <si>
    <t>NetLogo for Reinforcement Learning</t>
  </si>
  <si>
    <t>i* framework</t>
  </si>
  <si>
    <t>NumPy</t>
  </si>
  <si>
    <t>P35, P37, P44</t>
  </si>
  <si>
    <t>Kernel meta meta model (KM3) framework</t>
  </si>
  <si>
    <t>Pandas</t>
  </si>
  <si>
    <t>P17, P35</t>
  </si>
  <si>
    <t>CINCO framework</t>
  </si>
  <si>
    <t>P6, P25, P37</t>
  </si>
  <si>
    <t>OPC Unified Achitecture (UA) framework</t>
  </si>
  <si>
    <t>Scikit-learn</t>
  </si>
  <si>
    <t>P13, P22, P35</t>
  </si>
  <si>
    <t>Datasets used for evaluation in the study</t>
  </si>
  <si>
    <t>P3, P15, P16, P19, P21, P26, P31, P35, P40, P41, P42, P43, P44, P46</t>
  </si>
  <si>
    <t>Tensorflow</t>
  </si>
  <si>
    <t>P5, P6, P8, P11, P12, P13, P22, P24, P31</t>
  </si>
  <si>
    <t>Meta tool</t>
  </si>
  <si>
    <t>Sirius</t>
  </si>
  <si>
    <t>P1, P7, P9, P14, P25, P27, P30, P34, P37, P38</t>
  </si>
  <si>
    <t>Tensorflow Lite</t>
  </si>
  <si>
    <t>P16, P34, P36, P45</t>
  </si>
  <si>
    <t>Table 23</t>
  </si>
  <si>
    <t>MontiArc/MontiAnna</t>
  </si>
  <si>
    <t>ZenML</t>
  </si>
  <si>
    <t>Langium Workbench</t>
  </si>
  <si>
    <t>P2, P3, P10, P14, P15, P19, P23, P26, P27, P29, P32, P33, P38, P39, P41, P42, P43, P46</t>
  </si>
  <si>
    <t xml:space="preserve">WebGME </t>
  </si>
  <si>
    <t>Papyrus</t>
  </si>
  <si>
    <t>P17, P33</t>
  </si>
  <si>
    <t>Flexmi</t>
  </si>
  <si>
    <t>P2, P6</t>
  </si>
  <si>
    <t>TouchCore</t>
  </si>
  <si>
    <t>IntelliJ IDE</t>
  </si>
  <si>
    <t>Eclipse IDE</t>
  </si>
  <si>
    <t>P22, P28, P29, P39</t>
  </si>
  <si>
    <t xml:space="preserve">Deep Learning Lifecycle Data Management (DL LDM) tool </t>
  </si>
  <si>
    <t>CINCO Workbench</t>
  </si>
  <si>
    <t>Pyro</t>
  </si>
  <si>
    <t>Build automation, deployment and configuration</t>
  </si>
  <si>
    <t>Maven</t>
  </si>
  <si>
    <t>OPC Unified Architecture (UA) modeler</t>
  </si>
  <si>
    <t>Docker</t>
  </si>
  <si>
    <t>P3, P15, P16, P18, P19, P20, P21, P31, P36, P40, P41, P42, P43, P44, P46</t>
  </si>
  <si>
    <t>Kubernetes</t>
  </si>
  <si>
    <t>P6, P37</t>
  </si>
  <si>
    <t xml:space="preserve">Model transformation/ generation language </t>
  </si>
  <si>
    <t>Acceleo</t>
  </si>
  <si>
    <t>P1, P27, P34</t>
  </si>
  <si>
    <t>not used in study</t>
  </si>
  <si>
    <t>P1, P2, P3, P4, P5, P7, P8, P9, P10, P14, P15, P16, P17, P18, P19, P20, P21, P22, P23, P24, P26, P28, P29, P30, P31, P32, P33, P34, P35, P36, P39, P40, P41, P42, P43, P44, P46</t>
  </si>
  <si>
    <t>five-segments digits dataset (MNIST)</t>
  </si>
  <si>
    <t>XTend</t>
  </si>
  <si>
    <t>P9, P14, P22, P28, P39</t>
  </si>
  <si>
    <t>Epsilon Generation Language (EGL)</t>
  </si>
  <si>
    <t>P2, P6, P7, P17</t>
  </si>
  <si>
    <t>Atlas Transformation language (ATL)</t>
  </si>
  <si>
    <t>P25, P29, P30</t>
  </si>
  <si>
    <t>Xpand language</t>
  </si>
  <si>
    <t>ENLIL</t>
  </si>
  <si>
    <t>MontiAnna/MontiArc generators and extensions</t>
  </si>
  <si>
    <t>Apache Velocity</t>
  </si>
  <si>
    <t>ANTLR</t>
  </si>
  <si>
    <t>OPC Unified Architecture (UA) code generator</t>
  </si>
  <si>
    <t>P13, P15, P16, P18, P19, P21, P24, P26, P31, P32, P33, P35, P36, P37, P38, P40, P41, P42, P43, P44, P46</t>
  </si>
  <si>
    <t>Model Validation and Execution</t>
  </si>
  <si>
    <t>Epsilon Validation Language (EVL)</t>
  </si>
  <si>
    <t xml:space="preserve">Alloy </t>
  </si>
  <si>
    <t>Object Constraint Language (OCL)</t>
  </si>
  <si>
    <t>DTGolog</t>
  </si>
  <si>
    <t>Limitations not mentioned in papers</t>
  </si>
  <si>
    <t>Future work not mentioned in papers</t>
  </si>
  <si>
    <t>Limitation</t>
  </si>
  <si>
    <t>Sub - Limitation</t>
  </si>
  <si>
    <t>All Papers</t>
  </si>
  <si>
    <t>Mentioned in Paper</t>
  </si>
  <si>
    <t>Not mentioned in Paper</t>
  </si>
  <si>
    <t>Limitations in Evaluation</t>
  </si>
  <si>
    <t>No user study</t>
  </si>
  <si>
    <t>All studies except P10, P22, P24, P35</t>
  </si>
  <si>
    <t>P17, P28, P30</t>
  </si>
  <si>
    <t>All studies except P10, P17, P22, P24,P28, P30, P35</t>
  </si>
  <si>
    <t xml:space="preserve">P18 </t>
  </si>
  <si>
    <t>P5, P6, P8, P21, P26, P43</t>
  </si>
  <si>
    <t>No ML evaluation</t>
  </si>
  <si>
    <t>P14, P15, P20, P24, P29, P30, P33, P35, P40</t>
  </si>
  <si>
    <t>No MDE evaluation</t>
  </si>
  <si>
    <t>P1, P3, P7, P9, P11, P13, P22, P23, P27, P34, P39, P42, P46</t>
  </si>
  <si>
    <t>Weak evaluation</t>
  </si>
  <si>
    <t>P7, P14, P15, P20, P29, P36, P37, P38, P39, P40, P41, P42, P45, P46</t>
  </si>
  <si>
    <t xml:space="preserve">All studies except P12, P15, P31, P33, P35 </t>
  </si>
  <si>
    <t>Limitations in Quality</t>
  </si>
  <si>
    <t>P1, P2, P3, P4, P5, P6, P7, P8, P10, P11, P12, P15, P17, P18, P20, P21, P22, P24, P25, P26, P27, P28, P29, P31, P32, P34, P35, P36, P38, P40, P42, P43, P45, P46</t>
  </si>
  <si>
    <t>difficult to scale</t>
  </si>
  <si>
    <t>P14, P39</t>
  </si>
  <si>
    <t xml:space="preserve">All studies except P2, P3, P7, P10, P27, P31, P33, P35, P45        </t>
  </si>
  <si>
    <t>Limitations in Approach</t>
  </si>
  <si>
    <t>P19, P20, P22, P24, P36, P39</t>
  </si>
  <si>
    <t>P3, P14, P35, P45</t>
  </si>
  <si>
    <t>significant manual effort required in modeling etc</t>
  </si>
  <si>
    <t>P15, P21,</t>
  </si>
  <si>
    <t>P34 (knowledge base creation)</t>
  </si>
  <si>
    <t>P12, P24, P25, P27, P35,  P38, P40</t>
  </si>
  <si>
    <t>P3, P18, P19, P29, P30, P31, P40, P41, P43</t>
  </si>
  <si>
    <t>P26, P27, P28, P29, P31, P36, P38, P40, P41, P43</t>
  </si>
  <si>
    <t xml:space="preserve">            </t>
  </si>
  <si>
    <t>Future challenge</t>
  </si>
  <si>
    <t>sub-challenges</t>
  </si>
  <si>
    <t>Papers</t>
  </si>
  <si>
    <t>Quality Enhancement</t>
  </si>
  <si>
    <t>integration with tools or systems</t>
  </si>
  <si>
    <t>Approach Enhancement or Extension</t>
  </si>
  <si>
    <t>more features ( recommender, autoML, more concepts in meta-model, etc)</t>
  </si>
  <si>
    <t>data processing support</t>
  </si>
  <si>
    <t>P9, P13, P14, P17, P22, P34</t>
  </si>
  <si>
    <t>Further Evaluations</t>
  </si>
  <si>
    <t xml:space="preserve">perform evaluation </t>
  </si>
  <si>
    <t>Limited code generation language/platform supported</t>
  </si>
  <si>
    <t>complex cases not considered (also includes papers with limited or basic concepts only in models)</t>
  </si>
  <si>
    <t>limited ML algorithms supported</t>
  </si>
  <si>
    <t>What ML techniques are considered in the study? e.g. Machine learning, deep learning, reinforcement learning, computer vision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</si>
</sst>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m\-d"/>
  </numFmts>
  <fonts count="36">
    <font>
      <sz val="10"/>
      <color rgb="FF000000"/>
      <name val="Arial"/>
      <scheme val="minor"/>
    </font>
    <font>
      <b/>
      <sz val="10"/>
      <color theme="1"/>
      <name val="Arial"/>
      <family val="2"/>
      <scheme val="minor"/>
    </font>
    <font>
      <sz val="10"/>
      <color theme="1"/>
      <name val="Arial"/>
      <family val="2"/>
      <scheme val="minor"/>
    </font>
    <font>
      <sz val="11"/>
      <color theme="1"/>
      <name val="Arial"/>
      <family val="2"/>
      <scheme val="minor"/>
    </font>
    <font>
      <sz val="10"/>
      <color rgb="FF000000"/>
      <name val="Arial"/>
      <family val="2"/>
    </font>
    <font>
      <u/>
      <sz val="10"/>
      <color rgb="FF0000FF"/>
      <name val="Arial"/>
      <family val="2"/>
    </font>
    <font>
      <sz val="10"/>
      <color theme="1"/>
      <name val="Arial"/>
      <family val="2"/>
      <scheme val="minor"/>
    </font>
    <font>
      <u/>
      <sz val="10"/>
      <color rgb="FF0000FF"/>
      <name val="Arial"/>
      <family val="2"/>
    </font>
    <font>
      <sz val="10"/>
      <color theme="1"/>
      <name val="Arial"/>
      <family val="2"/>
    </font>
    <font>
      <sz val="10"/>
      <name val="Arial"/>
      <family val="2"/>
    </font>
    <font>
      <sz val="10"/>
      <color theme="1"/>
      <name val="Arial"/>
      <family val="2"/>
    </font>
    <font>
      <b/>
      <sz val="10"/>
      <color theme="1"/>
      <name val="Arial"/>
      <family val="2"/>
      <scheme val="minor"/>
    </font>
    <font>
      <b/>
      <sz val="10"/>
      <color rgb="FF000000"/>
      <name val="Arial"/>
      <family val="2"/>
    </font>
    <font>
      <b/>
      <sz val="10"/>
      <color theme="1"/>
      <name val="Arial"/>
      <family val="2"/>
    </font>
    <font>
      <b/>
      <sz val="11"/>
      <color theme="1"/>
      <name val="Arial"/>
      <family val="2"/>
      <scheme val="minor"/>
    </font>
    <font>
      <u/>
      <sz val="10"/>
      <color rgb="FF0000FF"/>
      <name val="Arial"/>
      <family val="2"/>
    </font>
    <font>
      <b/>
      <sz val="12"/>
      <color theme="1"/>
      <name val="Arial"/>
      <family val="2"/>
      <scheme val="minor"/>
    </font>
    <font>
      <b/>
      <sz val="10"/>
      <color rgb="FF000000"/>
      <name val="Arial"/>
      <family val="2"/>
    </font>
    <font>
      <b/>
      <sz val="10"/>
      <color rgb="FFFFFFFF"/>
      <name val="Arial"/>
      <family val="2"/>
      <scheme val="minor"/>
    </font>
    <font>
      <sz val="10"/>
      <color rgb="FF000000"/>
      <name val="Arial"/>
      <family val="2"/>
      <scheme val="minor"/>
    </font>
    <font>
      <sz val="10"/>
      <color rgb="FFFFFFFF"/>
      <name val="Arial"/>
      <family val="2"/>
      <scheme val="minor"/>
    </font>
    <font>
      <b/>
      <sz val="12"/>
      <color rgb="FF000000"/>
      <name val="Arial"/>
      <family val="2"/>
    </font>
    <font>
      <sz val="11"/>
      <color rgb="FF000000"/>
      <name val="&quot;Google Sans Mono&quot;"/>
    </font>
    <font>
      <sz val="11"/>
      <color theme="1"/>
      <name val="Arial"/>
      <family val="2"/>
    </font>
    <font>
      <b/>
      <sz val="11"/>
      <color rgb="FF000000"/>
      <name val="Arial"/>
      <family val="2"/>
    </font>
    <font>
      <b/>
      <sz val="11"/>
      <color theme="1"/>
      <name val="Arial"/>
      <family val="2"/>
    </font>
    <font>
      <sz val="11"/>
      <color rgb="FF000000"/>
      <name val="Arial"/>
      <family val="2"/>
    </font>
    <font>
      <sz val="11"/>
      <color rgb="FFFF9900"/>
      <name val="Arial"/>
      <family val="2"/>
      <scheme val="minor"/>
    </font>
    <font>
      <sz val="11"/>
      <color rgb="FF000000"/>
      <name val="Arial"/>
      <family val="2"/>
      <scheme val="minor"/>
    </font>
    <font>
      <b/>
      <sz val="10"/>
      <color rgb="FFFFFFFF"/>
      <name val="Arial"/>
      <family val="2"/>
      <scheme val="minor"/>
    </font>
    <font>
      <sz val="10"/>
      <color rgb="FFFFFFFF"/>
      <name val="Arial"/>
      <family val="2"/>
      <scheme val="minor"/>
    </font>
    <font>
      <sz val="10"/>
      <color rgb="FFFFFFFF"/>
      <name val="Arial"/>
      <family val="2"/>
    </font>
    <font>
      <sz val="10"/>
      <color rgb="FFFF0000"/>
      <name val="Arial"/>
      <family val="2"/>
    </font>
    <font>
      <b/>
      <sz val="10"/>
      <color theme="0"/>
      <name val="Arial (Body)"/>
    </font>
    <font>
      <sz val="10"/>
      <color theme="0"/>
      <name val="Arial (Body)"/>
    </font>
    <font>
      <sz val="11"/>
      <color theme="0"/>
      <name val="Arial (Body)"/>
    </font>
  </fonts>
  <fills count="18">
    <fill>
      <patternFill patternType="none"/>
    </fill>
    <fill>
      <patternFill patternType="gray125"/>
    </fill>
    <fill>
      <patternFill patternType="solid">
        <fgColor rgb="FFFF00FF"/>
        <bgColor rgb="FFFF00FF"/>
      </patternFill>
    </fill>
    <fill>
      <patternFill patternType="solid">
        <fgColor rgb="FFFFFFFF"/>
        <bgColor rgb="FFFFFFFF"/>
      </patternFill>
    </fill>
    <fill>
      <patternFill patternType="solid">
        <fgColor rgb="FFD9D2E9"/>
        <bgColor rgb="FFD9D2E9"/>
      </patternFill>
    </fill>
    <fill>
      <patternFill patternType="solid">
        <fgColor rgb="FFC9DAF8"/>
        <bgColor rgb="FFC9DAF8"/>
      </patternFill>
    </fill>
    <fill>
      <patternFill patternType="solid">
        <fgColor rgb="FF00FF00"/>
        <bgColor rgb="FF00FF00"/>
      </patternFill>
    </fill>
    <fill>
      <patternFill patternType="solid">
        <fgColor rgb="FFD9D9D9"/>
        <bgColor rgb="FFD9D9D9"/>
      </patternFill>
    </fill>
    <fill>
      <patternFill patternType="solid">
        <fgColor rgb="FFB7B7B7"/>
        <bgColor rgb="FFB7B7B7"/>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FE2F3"/>
        <bgColor rgb="FFCFE2F3"/>
      </patternFill>
    </fill>
    <fill>
      <patternFill patternType="solid">
        <fgColor rgb="FFEAD1DC"/>
        <bgColor rgb="FFEAD1DC"/>
      </patternFill>
    </fill>
    <fill>
      <patternFill patternType="solid">
        <fgColor rgb="FFEA9999"/>
        <bgColor rgb="FFEA9999"/>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D9D9D9"/>
      </left>
      <right style="thin">
        <color rgb="FFD9D9D9"/>
      </right>
      <top style="thin">
        <color rgb="FFD9D9D9"/>
      </top>
      <bottom style="thin">
        <color rgb="FFD9D9D9"/>
      </bottom>
      <diagonal/>
    </border>
    <border>
      <left/>
      <right/>
      <top style="thin">
        <color rgb="FF000000"/>
      </top>
      <bottom style="thin">
        <color rgb="FF000000"/>
      </bottom>
      <diagonal/>
    </border>
  </borders>
  <cellStyleXfs count="1">
    <xf numFmtId="0" fontId="0" fillId="0" borderId="0"/>
  </cellStyleXfs>
  <cellXfs count="338">
    <xf numFmtId="0" fontId="0" fillId="0" borderId="0" xfId="0"/>
    <xf numFmtId="0" fontId="1" fillId="2" borderId="1" xfId="0" applyFont="1" applyFill="1" applyBorder="1" applyAlignment="1">
      <alignment wrapText="1"/>
    </xf>
    <xf numFmtId="0" fontId="1" fillId="2" borderId="1" xfId="0" applyFont="1" applyFill="1" applyBorder="1"/>
    <xf numFmtId="0" fontId="2" fillId="0" borderId="1" xfId="0" applyFont="1" applyBorder="1"/>
    <xf numFmtId="0" fontId="2" fillId="3" borderId="1" xfId="0" applyFont="1" applyFill="1" applyBorder="1"/>
    <xf numFmtId="0" fontId="3" fillId="0" borderId="1" xfId="0" applyFont="1" applyBorder="1"/>
    <xf numFmtId="0" fontId="2" fillId="0" borderId="0" xfId="0" applyFont="1" applyAlignment="1">
      <alignment wrapText="1"/>
    </xf>
    <xf numFmtId="0" fontId="2" fillId="0" borderId="0" xfId="0" applyFont="1"/>
    <xf numFmtId="0" fontId="2" fillId="3" borderId="0" xfId="0" applyFont="1" applyFill="1" applyAlignment="1">
      <alignment wrapText="1"/>
    </xf>
    <xf numFmtId="164" fontId="2" fillId="0" borderId="0" xfId="0" applyNumberFormat="1" applyFont="1" applyAlignment="1">
      <alignment wrapText="1"/>
    </xf>
    <xf numFmtId="0" fontId="2" fillId="3" borderId="0" xfId="0" applyFont="1" applyFill="1"/>
    <xf numFmtId="0" fontId="4" fillId="3" borderId="0" xfId="0" applyFont="1" applyFill="1" applyAlignment="1">
      <alignment horizontal="left"/>
    </xf>
    <xf numFmtId="164" fontId="2" fillId="0" borderId="0" xfId="0" applyNumberFormat="1" applyFont="1"/>
    <xf numFmtId="0" fontId="2" fillId="4" borderId="0" xfId="0" applyFont="1" applyFill="1"/>
    <xf numFmtId="0" fontId="4" fillId="4" borderId="0" xfId="0" applyFont="1" applyFill="1" applyAlignment="1">
      <alignment horizontal="left"/>
    </xf>
    <xf numFmtId="0" fontId="5" fillId="0" borderId="0" xfId="0" applyFont="1"/>
    <xf numFmtId="0" fontId="6" fillId="0" borderId="0" xfId="0" applyFont="1"/>
    <xf numFmtId="0" fontId="1" fillId="3" borderId="0" xfId="0" applyFont="1" applyFill="1" applyAlignment="1">
      <alignment wrapText="1"/>
    </xf>
    <xf numFmtId="0" fontId="1" fillId="5" borderId="0" xfId="0" applyFont="1" applyFill="1" applyAlignment="1">
      <alignment wrapText="1"/>
    </xf>
    <xf numFmtId="0" fontId="3" fillId="0" borderId="0" xfId="0" applyFont="1"/>
    <xf numFmtId="0" fontId="2" fillId="5" borderId="0" xfId="0" applyFont="1" applyFill="1"/>
    <xf numFmtId="0" fontId="7" fillId="0" borderId="0" xfId="0" applyFont="1"/>
    <xf numFmtId="0" fontId="1" fillId="3" borderId="2" xfId="0" applyFont="1" applyFill="1" applyBorder="1" applyAlignment="1">
      <alignment wrapText="1"/>
    </xf>
    <xf numFmtId="0" fontId="1" fillId="3" borderId="3" xfId="0" applyFont="1" applyFill="1" applyBorder="1" applyAlignment="1">
      <alignment wrapText="1"/>
    </xf>
    <xf numFmtId="0" fontId="1" fillId="3" borderId="1" xfId="0" applyFont="1" applyFill="1" applyBorder="1" applyAlignment="1">
      <alignment wrapText="1"/>
    </xf>
    <xf numFmtId="0" fontId="1" fillId="3" borderId="4" xfId="0" applyFont="1" applyFill="1" applyBorder="1" applyAlignment="1">
      <alignment wrapText="1"/>
    </xf>
    <xf numFmtId="0" fontId="1" fillId="3" borderId="5" xfId="0" applyFont="1" applyFill="1" applyBorder="1" applyAlignment="1">
      <alignment wrapText="1"/>
    </xf>
    <xf numFmtId="0" fontId="2" fillId="3" borderId="5" xfId="0" applyFont="1" applyFill="1" applyBorder="1"/>
    <xf numFmtId="0" fontId="6" fillId="3" borderId="5" xfId="0" applyFont="1" applyFill="1" applyBorder="1"/>
    <xf numFmtId="0" fontId="1" fillId="3" borderId="0" xfId="0" applyFont="1" applyFill="1"/>
    <xf numFmtId="0" fontId="8" fillId="3" borderId="1" xfId="0" applyFont="1" applyFill="1" applyBorder="1"/>
    <xf numFmtId="0" fontId="2" fillId="3" borderId="7" xfId="0" applyFont="1" applyFill="1" applyBorder="1"/>
    <xf numFmtId="0" fontId="2" fillId="3" borderId="3" xfId="0" applyFont="1" applyFill="1" applyBorder="1"/>
    <xf numFmtId="0" fontId="2" fillId="3" borderId="4" xfId="0" applyFont="1" applyFill="1" applyBorder="1"/>
    <xf numFmtId="0" fontId="2" fillId="3" borderId="8" xfId="0" applyFont="1" applyFill="1" applyBorder="1"/>
    <xf numFmtId="0" fontId="2" fillId="3" borderId="10" xfId="0" applyFont="1" applyFill="1" applyBorder="1"/>
    <xf numFmtId="0" fontId="1" fillId="3" borderId="4" xfId="0" applyFont="1" applyFill="1" applyBorder="1"/>
    <xf numFmtId="0" fontId="2" fillId="3" borderId="6" xfId="0" applyFont="1" applyFill="1" applyBorder="1"/>
    <xf numFmtId="0" fontId="2" fillId="3" borderId="2" xfId="0" applyFont="1" applyFill="1" applyBorder="1"/>
    <xf numFmtId="0" fontId="2" fillId="3" borderId="9" xfId="0" applyFont="1" applyFill="1" applyBorder="1"/>
    <xf numFmtId="0" fontId="2" fillId="3" borderId="11" xfId="0" applyFont="1" applyFill="1" applyBorder="1"/>
    <xf numFmtId="0" fontId="2" fillId="3" borderId="12" xfId="0" applyFont="1" applyFill="1" applyBorder="1"/>
    <xf numFmtId="0" fontId="6" fillId="3" borderId="1" xfId="0" applyFont="1" applyFill="1" applyBorder="1"/>
    <xf numFmtId="0" fontId="2" fillId="3" borderId="0" xfId="0" applyFont="1" applyFill="1" applyAlignment="1">
      <alignment horizontal="right"/>
    </xf>
    <xf numFmtId="0" fontId="4" fillId="3" borderId="4" xfId="0" applyFont="1" applyFill="1" applyBorder="1" applyAlignment="1">
      <alignment horizontal="left"/>
    </xf>
    <xf numFmtId="0" fontId="4" fillId="3" borderId="8" xfId="0" applyFont="1" applyFill="1" applyBorder="1" applyAlignment="1">
      <alignment horizontal="left"/>
    </xf>
    <xf numFmtId="0" fontId="10" fillId="3" borderId="1" xfId="0" applyFont="1" applyFill="1" applyBorder="1"/>
    <xf numFmtId="0" fontId="11" fillId="3" borderId="1" xfId="0" applyFont="1" applyFill="1" applyBorder="1" applyAlignment="1">
      <alignment wrapText="1"/>
    </xf>
    <xf numFmtId="0" fontId="12" fillId="3" borderId="1" xfId="0" applyFont="1" applyFill="1" applyBorder="1" applyAlignment="1">
      <alignment horizontal="left" wrapText="1"/>
    </xf>
    <xf numFmtId="0" fontId="1" fillId="3" borderId="13" xfId="0" applyFont="1" applyFill="1" applyBorder="1" applyAlignment="1">
      <alignment wrapText="1"/>
    </xf>
    <xf numFmtId="0" fontId="1" fillId="3" borderId="14" xfId="0" applyFont="1" applyFill="1" applyBorder="1" applyAlignment="1">
      <alignment wrapText="1"/>
    </xf>
    <xf numFmtId="0" fontId="13" fillId="3" borderId="1" xfId="0" applyFont="1" applyFill="1" applyBorder="1" applyAlignment="1">
      <alignment wrapText="1"/>
    </xf>
    <xf numFmtId="0" fontId="14" fillId="3" borderId="1" xfId="0" applyFont="1" applyFill="1" applyBorder="1"/>
    <xf numFmtId="0" fontId="2" fillId="3" borderId="1" xfId="0" applyFont="1" applyFill="1" applyBorder="1" applyAlignment="1">
      <alignment wrapText="1"/>
    </xf>
    <xf numFmtId="0" fontId="2" fillId="3" borderId="14" xfId="0" applyFont="1" applyFill="1" applyBorder="1"/>
    <xf numFmtId="0" fontId="3" fillId="3" borderId="1" xfId="0" applyFont="1" applyFill="1" applyBorder="1" applyAlignment="1">
      <alignment wrapText="1"/>
    </xf>
    <xf numFmtId="0" fontId="11" fillId="3" borderId="0" xfId="0" applyFont="1" applyFill="1" applyAlignment="1">
      <alignment wrapText="1"/>
    </xf>
    <xf numFmtId="0" fontId="3" fillId="3" borderId="1" xfId="0" applyFont="1" applyFill="1" applyBorder="1"/>
    <xf numFmtId="0" fontId="2" fillId="3" borderId="5" xfId="0" applyFont="1" applyFill="1" applyBorder="1" applyAlignment="1">
      <alignment wrapText="1"/>
    </xf>
    <xf numFmtId="0" fontId="2" fillId="3" borderId="8" xfId="0" applyFont="1" applyFill="1" applyBorder="1" applyAlignment="1">
      <alignment wrapText="1"/>
    </xf>
    <xf numFmtId="0" fontId="4" fillId="3" borderId="14" xfId="0" applyFont="1" applyFill="1" applyBorder="1" applyAlignment="1">
      <alignment horizontal="left"/>
    </xf>
    <xf numFmtId="0" fontId="4" fillId="3" borderId="1" xfId="0" applyFont="1" applyFill="1" applyBorder="1" applyAlignment="1">
      <alignment horizontal="left"/>
    </xf>
    <xf numFmtId="0" fontId="2" fillId="3" borderId="3" xfId="0" applyFont="1" applyFill="1" applyBorder="1" applyAlignment="1">
      <alignment wrapText="1"/>
    </xf>
    <xf numFmtId="0" fontId="3" fillId="3" borderId="8" xfId="0" applyFont="1" applyFill="1" applyBorder="1"/>
    <xf numFmtId="0" fontId="14" fillId="3" borderId="1" xfId="0" applyFont="1" applyFill="1" applyBorder="1" applyAlignment="1">
      <alignment wrapText="1"/>
    </xf>
    <xf numFmtId="0" fontId="2" fillId="3" borderId="6" xfId="0" applyFont="1" applyFill="1" applyBorder="1" applyAlignment="1">
      <alignment wrapText="1"/>
    </xf>
    <xf numFmtId="0" fontId="2" fillId="3" borderId="9" xfId="0" applyFont="1" applyFill="1" applyBorder="1" applyAlignment="1">
      <alignment wrapText="1"/>
    </xf>
    <xf numFmtId="0" fontId="11" fillId="3" borderId="14" xfId="0" applyFont="1" applyFill="1" applyBorder="1" applyAlignment="1">
      <alignment wrapText="1"/>
    </xf>
    <xf numFmtId="0" fontId="1" fillId="3" borderId="1" xfId="0" applyFont="1" applyFill="1" applyBorder="1"/>
    <xf numFmtId="0" fontId="11" fillId="3" borderId="1" xfId="0" applyFont="1" applyFill="1" applyBorder="1"/>
    <xf numFmtId="0" fontId="6" fillId="3" borderId="1" xfId="0" applyFont="1" applyFill="1" applyBorder="1" applyAlignment="1">
      <alignment wrapText="1"/>
    </xf>
    <xf numFmtId="0" fontId="0" fillId="3" borderId="1" xfId="0" applyFill="1" applyBorder="1" applyAlignment="1">
      <alignment horizontal="left" wrapText="1"/>
    </xf>
    <xf numFmtId="0" fontId="15" fillId="3" borderId="1" xfId="0" applyFont="1" applyFill="1" applyBorder="1"/>
    <xf numFmtId="0" fontId="6" fillId="3" borderId="0" xfId="0" applyFont="1" applyFill="1" applyAlignment="1">
      <alignment wrapText="1"/>
    </xf>
    <xf numFmtId="0" fontId="8" fillId="3" borderId="1" xfId="0" applyFont="1" applyFill="1" applyBorder="1" applyAlignment="1">
      <alignment wrapText="1"/>
    </xf>
    <xf numFmtId="0" fontId="4" fillId="3" borderId="1" xfId="0" applyFont="1" applyFill="1" applyBorder="1" applyAlignment="1">
      <alignment horizontal="left" wrapText="1"/>
    </xf>
    <xf numFmtId="0" fontId="2" fillId="3" borderId="0" xfId="0" applyFont="1" applyFill="1" applyAlignment="1">
      <alignment horizontal="center" vertical="center"/>
    </xf>
    <xf numFmtId="0" fontId="0" fillId="3" borderId="1" xfId="0" applyFill="1" applyBorder="1" applyAlignment="1">
      <alignment horizontal="left"/>
    </xf>
    <xf numFmtId="0" fontId="0" fillId="3" borderId="0" xfId="0" applyFill="1" applyAlignment="1">
      <alignment horizontal="left" wrapText="1"/>
    </xf>
    <xf numFmtId="0" fontId="13" fillId="0" borderId="1" xfId="0" applyFont="1" applyBorder="1"/>
    <xf numFmtId="0" fontId="13" fillId="0" borderId="13" xfId="0" applyFont="1" applyBorder="1"/>
    <xf numFmtId="0" fontId="8" fillId="0" borderId="0" xfId="0" applyFont="1"/>
    <xf numFmtId="0" fontId="8" fillId="0" borderId="8" xfId="0" applyFont="1" applyBorder="1"/>
    <xf numFmtId="1" fontId="8" fillId="0" borderId="9" xfId="0" applyNumberFormat="1" applyFont="1" applyBorder="1" applyAlignment="1">
      <alignment horizontal="right"/>
    </xf>
    <xf numFmtId="0" fontId="8" fillId="0" borderId="9" xfId="0" applyFont="1" applyBorder="1"/>
    <xf numFmtId="0" fontId="8" fillId="3" borderId="9" xfId="0" applyFont="1" applyFill="1" applyBorder="1" applyAlignment="1">
      <alignment horizontal="right"/>
    </xf>
    <xf numFmtId="0" fontId="8" fillId="0" borderId="12" xfId="0" applyFont="1" applyBorder="1"/>
    <xf numFmtId="0" fontId="8" fillId="0" borderId="2" xfId="0" applyFont="1" applyBorder="1"/>
    <xf numFmtId="0" fontId="13" fillId="0" borderId="9" xfId="0" applyFont="1" applyBorder="1"/>
    <xf numFmtId="1" fontId="8" fillId="3" borderId="9" xfId="0" applyNumberFormat="1" applyFont="1" applyFill="1" applyBorder="1" applyAlignment="1">
      <alignment horizontal="right"/>
    </xf>
    <xf numFmtId="165" fontId="8" fillId="0" borderId="9" xfId="0" applyNumberFormat="1" applyFont="1" applyBorder="1"/>
    <xf numFmtId="0" fontId="13" fillId="6" borderId="9" xfId="0" applyFont="1" applyFill="1" applyBorder="1"/>
    <xf numFmtId="0" fontId="8" fillId="6" borderId="9" xfId="0" applyFont="1" applyFill="1" applyBorder="1" applyAlignment="1">
      <alignment horizontal="right"/>
    </xf>
    <xf numFmtId="0" fontId="8" fillId="0" borderId="9" xfId="0" applyFont="1" applyBorder="1" applyAlignment="1">
      <alignment horizontal="right"/>
    </xf>
    <xf numFmtId="0" fontId="2" fillId="0" borderId="0" xfId="0" applyFont="1" applyAlignment="1">
      <alignment horizontal="center"/>
    </xf>
    <xf numFmtId="0" fontId="1" fillId="0" borderId="1" xfId="0" applyFont="1" applyBorder="1"/>
    <xf numFmtId="0" fontId="8" fillId="0" borderId="0" xfId="0" applyFont="1" applyAlignment="1">
      <alignment vertical="top"/>
    </xf>
    <xf numFmtId="0" fontId="2" fillId="0" borderId="0" xfId="0" applyFont="1" applyAlignment="1">
      <alignment vertical="top"/>
    </xf>
    <xf numFmtId="0" fontId="16" fillId="0" borderId="0" xfId="0" applyFont="1" applyAlignment="1">
      <alignment horizontal="center" vertical="center"/>
    </xf>
    <xf numFmtId="0" fontId="1" fillId="0" borderId="0" xfId="0" applyFont="1"/>
    <xf numFmtId="0" fontId="14" fillId="0" borderId="14" xfId="0" applyFont="1" applyBorder="1" applyAlignment="1">
      <alignment wrapText="1"/>
    </xf>
    <xf numFmtId="0" fontId="1" fillId="0" borderId="1" xfId="0" applyFont="1" applyBorder="1" applyAlignment="1">
      <alignment wrapText="1"/>
    </xf>
    <xf numFmtId="0" fontId="17" fillId="3" borderId="1" xfId="0" applyFont="1" applyFill="1" applyBorder="1" applyAlignment="1">
      <alignment horizontal="left" wrapText="1"/>
    </xf>
    <xf numFmtId="0" fontId="1" fillId="8" borderId="1" xfId="0" applyFont="1" applyFill="1" applyBorder="1"/>
    <xf numFmtId="0" fontId="1" fillId="0" borderId="5" xfId="0" applyFont="1" applyBorder="1" applyAlignment="1">
      <alignment wrapText="1"/>
    </xf>
    <xf numFmtId="0" fontId="18" fillId="3" borderId="23" xfId="0" applyFont="1" applyFill="1" applyBorder="1"/>
    <xf numFmtId="0" fontId="0" fillId="3" borderId="1" xfId="0" applyFill="1" applyBorder="1" applyAlignment="1">
      <alignment wrapText="1"/>
    </xf>
    <xf numFmtId="0" fontId="2" fillId="0" borderId="1" xfId="0" applyFont="1" applyBorder="1" applyAlignment="1">
      <alignment wrapText="1"/>
    </xf>
    <xf numFmtId="0" fontId="2" fillId="8" borderId="1" xfId="0" applyFont="1" applyFill="1" applyBorder="1"/>
    <xf numFmtId="0" fontId="0" fillId="8" borderId="1" xfId="0" applyFill="1" applyBorder="1" applyAlignment="1">
      <alignment wrapText="1"/>
    </xf>
    <xf numFmtId="0" fontId="19" fillId="3" borderId="1" xfId="0" applyFont="1" applyFill="1" applyBorder="1"/>
    <xf numFmtId="0" fontId="0" fillId="3" borderId="1" xfId="0" applyFill="1" applyBorder="1"/>
    <xf numFmtId="0" fontId="0" fillId="0" borderId="1" xfId="0" applyBorder="1" applyAlignment="1">
      <alignment horizontal="left" vertical="center" wrapText="1"/>
    </xf>
    <xf numFmtId="0" fontId="20" fillId="3" borderId="23" xfId="0" applyFont="1" applyFill="1" applyBorder="1"/>
    <xf numFmtId="0" fontId="6" fillId="0" borderId="1" xfId="0" applyFont="1" applyBorder="1" applyAlignment="1">
      <alignment wrapText="1"/>
    </xf>
    <xf numFmtId="0" fontId="2" fillId="0" borderId="5" xfId="0" applyFont="1" applyBorder="1"/>
    <xf numFmtId="0" fontId="2" fillId="0" borderId="5" xfId="0" applyFont="1" applyBorder="1" applyAlignment="1">
      <alignment wrapText="1"/>
    </xf>
    <xf numFmtId="0" fontId="2" fillId="0" borderId="1" xfId="0" applyFont="1" applyBorder="1" applyAlignment="1">
      <alignment horizontal="left" vertical="center" wrapText="1"/>
    </xf>
    <xf numFmtId="0" fontId="19" fillId="0" borderId="1" xfId="0" applyFont="1" applyBorder="1"/>
    <xf numFmtId="0" fontId="16" fillId="0" borderId="0" xfId="0" applyFont="1" applyAlignment="1">
      <alignment horizontal="center" vertical="center" wrapText="1"/>
    </xf>
    <xf numFmtId="0" fontId="14" fillId="0" borderId="0" xfId="0" applyFont="1" applyAlignment="1">
      <alignment horizontal="center" vertical="center"/>
    </xf>
    <xf numFmtId="0" fontId="3" fillId="0" borderId="0" xfId="0" applyFont="1" applyAlignment="1">
      <alignment horizontal="center"/>
    </xf>
    <xf numFmtId="0" fontId="14" fillId="0" borderId="0" xfId="0" applyFont="1"/>
    <xf numFmtId="0" fontId="14" fillId="0" borderId="14" xfId="0" applyFont="1" applyBorder="1"/>
    <xf numFmtId="0" fontId="14" fillId="0" borderId="1" xfId="0" applyFont="1" applyBorder="1"/>
    <xf numFmtId="0" fontId="3" fillId="0" borderId="14" xfId="0" applyFont="1" applyBorder="1"/>
    <xf numFmtId="0" fontId="3" fillId="0" borderId="0" xfId="0" applyFont="1" applyAlignment="1">
      <alignment vertical="center"/>
    </xf>
    <xf numFmtId="0" fontId="0" fillId="3" borderId="3" xfId="0" applyFill="1" applyBorder="1" applyAlignment="1">
      <alignment wrapText="1"/>
    </xf>
    <xf numFmtId="0" fontId="20" fillId="3" borderId="0" xfId="0" applyFont="1" applyFill="1"/>
    <xf numFmtId="0" fontId="3" fillId="0" borderId="1" xfId="0" applyFont="1" applyBorder="1" applyAlignment="1">
      <alignment vertical="center"/>
    </xf>
    <xf numFmtId="0" fontId="2" fillId="0" borderId="1" xfId="0" applyFont="1" applyBorder="1" applyAlignment="1">
      <alignment horizontal="center" vertical="center"/>
    </xf>
    <xf numFmtId="0" fontId="2" fillId="0" borderId="11" xfId="0" applyFont="1" applyBorder="1"/>
    <xf numFmtId="0" fontId="2" fillId="0" borderId="11" xfId="0" applyFont="1" applyBorder="1" applyAlignment="1">
      <alignment wrapText="1"/>
    </xf>
    <xf numFmtId="0" fontId="14" fillId="0" borderId="1" xfId="0" applyFont="1" applyBorder="1" applyAlignment="1">
      <alignment wrapText="1"/>
    </xf>
    <xf numFmtId="0" fontId="2" fillId="0" borderId="1" xfId="0" applyFont="1" applyBorder="1" applyAlignment="1">
      <alignment horizontal="left" wrapText="1"/>
    </xf>
    <xf numFmtId="9" fontId="3" fillId="0" borderId="1" xfId="0" applyNumberFormat="1" applyFont="1" applyBorder="1"/>
    <xf numFmtId="0" fontId="3" fillId="0" borderId="1" xfId="0" applyFont="1" applyBorder="1" applyAlignment="1">
      <alignment wrapText="1"/>
    </xf>
    <xf numFmtId="9" fontId="3" fillId="0" borderId="1" xfId="0" applyNumberFormat="1" applyFont="1" applyBorder="1" applyAlignment="1">
      <alignment wrapText="1"/>
    </xf>
    <xf numFmtId="0" fontId="3" fillId="0" borderId="14" xfId="0" applyFont="1" applyBorder="1" applyAlignment="1">
      <alignment wrapText="1"/>
    </xf>
    <xf numFmtId="0" fontId="22" fillId="3" borderId="0" xfId="0" applyFont="1" applyFill="1"/>
    <xf numFmtId="0" fontId="3" fillId="0" borderId="5" xfId="0" applyFont="1" applyBorder="1" applyAlignment="1">
      <alignment wrapText="1"/>
    </xf>
    <xf numFmtId="0" fontId="22" fillId="3" borderId="5" xfId="0" applyFont="1" applyFill="1" applyBorder="1" applyAlignment="1">
      <alignment wrapText="1"/>
    </xf>
    <xf numFmtId="9" fontId="3" fillId="0" borderId="5" xfId="0" applyNumberFormat="1" applyFont="1" applyBorder="1" applyAlignment="1">
      <alignment wrapText="1"/>
    </xf>
    <xf numFmtId="0" fontId="22" fillId="3" borderId="1" xfId="0" applyFont="1" applyFill="1" applyBorder="1" applyAlignment="1">
      <alignment wrapText="1"/>
    </xf>
    <xf numFmtId="0" fontId="3" fillId="0" borderId="11" xfId="0" applyFont="1" applyBorder="1" applyAlignment="1">
      <alignment wrapText="1"/>
    </xf>
    <xf numFmtId="0" fontId="22" fillId="3" borderId="11" xfId="0" applyFont="1" applyFill="1" applyBorder="1" applyAlignment="1">
      <alignment wrapText="1"/>
    </xf>
    <xf numFmtId="0" fontId="3" fillId="0" borderId="0" xfId="0" applyFont="1" applyAlignment="1">
      <alignment wrapText="1"/>
    </xf>
    <xf numFmtId="0" fontId="3" fillId="0" borderId="11" xfId="0" applyFont="1" applyBorder="1"/>
    <xf numFmtId="0" fontId="14" fillId="0" borderId="4" xfId="0" applyFont="1" applyBorder="1"/>
    <xf numFmtId="0" fontId="23" fillId="0" borderId="1" xfId="0" applyFont="1" applyBorder="1" applyAlignment="1">
      <alignment wrapText="1"/>
    </xf>
    <xf numFmtId="0" fontId="3" fillId="0" borderId="4" xfId="0" applyFont="1" applyBorder="1"/>
    <xf numFmtId="0" fontId="3" fillId="3" borderId="11" xfId="0" applyFont="1" applyFill="1" applyBorder="1" applyAlignment="1">
      <alignment wrapText="1"/>
    </xf>
    <xf numFmtId="0" fontId="3" fillId="3" borderId="0" xfId="0" applyFont="1" applyFill="1" applyAlignment="1">
      <alignment wrapText="1"/>
    </xf>
    <xf numFmtId="0" fontId="3" fillId="3" borderId="0" xfId="0" applyFont="1" applyFill="1"/>
    <xf numFmtId="0" fontId="14" fillId="0" borderId="0" xfId="0" applyFont="1" applyAlignment="1">
      <alignment horizontal="center" vertical="center" wrapText="1"/>
    </xf>
    <xf numFmtId="0" fontId="24" fillId="3" borderId="0" xfId="0" applyFont="1" applyFill="1" applyAlignment="1">
      <alignment horizontal="center" vertical="center" wrapText="1"/>
    </xf>
    <xf numFmtId="0" fontId="14" fillId="0" borderId="19" xfId="0" applyFont="1" applyBorder="1" applyAlignment="1">
      <alignment horizontal="center" vertical="center" wrapText="1"/>
    </xf>
    <xf numFmtId="0" fontId="14" fillId="0" borderId="1" xfId="0" applyFont="1" applyBorder="1" applyAlignment="1">
      <alignment horizontal="left" vertical="center" wrapText="1"/>
    </xf>
    <xf numFmtId="0" fontId="25" fillId="0" borderId="1" xfId="0" applyFont="1" applyBorder="1" applyAlignment="1">
      <alignment wrapText="1"/>
    </xf>
    <xf numFmtId="0" fontId="25" fillId="3" borderId="13" xfId="0" applyFont="1" applyFill="1" applyBorder="1" applyAlignment="1">
      <alignment wrapText="1"/>
    </xf>
    <xf numFmtId="0" fontId="3" fillId="0" borderId="1" xfId="0" applyFont="1" applyBorder="1" applyAlignment="1">
      <alignment horizontal="left" vertical="center" wrapText="1"/>
    </xf>
    <xf numFmtId="0" fontId="3" fillId="9" borderId="1" xfId="0" applyFont="1" applyFill="1" applyBorder="1" applyAlignment="1">
      <alignment wrapText="1"/>
    </xf>
    <xf numFmtId="0" fontId="23" fillId="0" borderId="8" xfId="0" applyFont="1" applyBorder="1"/>
    <xf numFmtId="0" fontId="23" fillId="0" borderId="9" xfId="0" applyFont="1" applyBorder="1" applyAlignment="1">
      <alignment wrapText="1"/>
    </xf>
    <xf numFmtId="0" fontId="3" fillId="3" borderId="1" xfId="0" applyFont="1" applyFill="1" applyBorder="1" applyAlignment="1">
      <alignment horizontal="left" vertical="center" wrapText="1"/>
    </xf>
    <xf numFmtId="0" fontId="3" fillId="0" borderId="5" xfId="0" applyFont="1" applyBorder="1"/>
    <xf numFmtId="0" fontId="23" fillId="0" borderId="3" xfId="0" applyFont="1" applyBorder="1"/>
    <xf numFmtId="0" fontId="23" fillId="0" borderId="2" xfId="0" applyFont="1" applyBorder="1" applyAlignment="1">
      <alignment wrapText="1"/>
    </xf>
    <xf numFmtId="0" fontId="26" fillId="9" borderId="0" xfId="0" applyFont="1" applyFill="1" applyAlignment="1">
      <alignment horizontal="left" wrapText="1"/>
    </xf>
    <xf numFmtId="0" fontId="3" fillId="3" borderId="5" xfId="0" applyFont="1" applyFill="1" applyBorder="1" applyAlignment="1">
      <alignment horizontal="left" vertical="center" wrapText="1"/>
    </xf>
    <xf numFmtId="0" fontId="23" fillId="3" borderId="2" xfId="0" applyFont="1" applyFill="1" applyBorder="1" applyAlignment="1">
      <alignment wrapText="1"/>
    </xf>
    <xf numFmtId="0" fontId="23" fillId="3" borderId="9" xfId="0" applyFont="1" applyFill="1" applyBorder="1" applyAlignment="1">
      <alignment wrapText="1"/>
    </xf>
    <xf numFmtId="0" fontId="3" fillId="10" borderId="1" xfId="0" applyFont="1" applyFill="1" applyBorder="1" applyAlignment="1">
      <alignment wrapText="1"/>
    </xf>
    <xf numFmtId="0" fontId="3" fillId="11" borderId="1" xfId="0" applyFont="1" applyFill="1" applyBorder="1" applyAlignment="1">
      <alignment wrapText="1"/>
    </xf>
    <xf numFmtId="0" fontId="3" fillId="12" borderId="1" xfId="0" applyFont="1" applyFill="1" applyBorder="1" applyAlignment="1">
      <alignment horizontal="left" vertical="center" wrapText="1"/>
    </xf>
    <xf numFmtId="0" fontId="3" fillId="12" borderId="1" xfId="0" applyFont="1" applyFill="1" applyBorder="1" applyAlignment="1">
      <alignment wrapText="1"/>
    </xf>
    <xf numFmtId="0" fontId="3" fillId="13" borderId="5" xfId="0" applyFont="1" applyFill="1" applyBorder="1" applyAlignment="1">
      <alignment horizontal="left" vertical="center" wrapText="1"/>
    </xf>
    <xf numFmtId="0" fontId="3" fillId="13" borderId="1" xfId="0" applyFont="1" applyFill="1" applyBorder="1" applyAlignment="1">
      <alignment wrapText="1"/>
    </xf>
    <xf numFmtId="0" fontId="26" fillId="14" borderId="1" xfId="0" applyFont="1" applyFill="1" applyBorder="1" applyAlignment="1">
      <alignment horizontal="left" wrapText="1"/>
    </xf>
    <xf numFmtId="0" fontId="3" fillId="14" borderId="1" xfId="0" applyFont="1" applyFill="1" applyBorder="1" applyAlignment="1">
      <alignment wrapText="1"/>
    </xf>
    <xf numFmtId="0" fontId="3" fillId="14" borderId="5" xfId="0" applyFont="1" applyFill="1" applyBorder="1" applyAlignment="1">
      <alignment wrapText="1"/>
    </xf>
    <xf numFmtId="0" fontId="23" fillId="3" borderId="8" xfId="0" applyFont="1" applyFill="1" applyBorder="1"/>
    <xf numFmtId="0" fontId="11" fillId="0" borderId="1" xfId="0" applyFont="1" applyBorder="1" applyAlignment="1">
      <alignment wrapText="1"/>
    </xf>
    <xf numFmtId="0" fontId="26" fillId="14" borderId="0" xfId="0" applyFont="1" applyFill="1" applyAlignment="1">
      <alignment horizontal="left" wrapText="1"/>
    </xf>
    <xf numFmtId="0" fontId="23" fillId="3" borderId="1" xfId="0" applyFont="1" applyFill="1" applyBorder="1" applyAlignment="1">
      <alignment wrapText="1"/>
    </xf>
    <xf numFmtId="0" fontId="26" fillId="5" borderId="1" xfId="0" applyFont="1" applyFill="1" applyBorder="1" applyAlignment="1">
      <alignment horizontal="left"/>
    </xf>
    <xf numFmtId="0" fontId="3" fillId="5" borderId="1" xfId="0" applyFont="1" applyFill="1" applyBorder="1" applyAlignment="1">
      <alignment wrapText="1"/>
    </xf>
    <xf numFmtId="0" fontId="26" fillId="15" borderId="1" xfId="0" applyFont="1" applyFill="1" applyBorder="1" applyAlignment="1">
      <alignment horizontal="left" wrapText="1"/>
    </xf>
    <xf numFmtId="0" fontId="3" fillId="15" borderId="1" xfId="0" applyFont="1" applyFill="1" applyBorder="1" applyAlignment="1">
      <alignment wrapText="1"/>
    </xf>
    <xf numFmtId="0" fontId="3" fillId="15" borderId="5" xfId="0" applyFont="1" applyFill="1" applyBorder="1" applyAlignment="1">
      <alignment wrapText="1"/>
    </xf>
    <xf numFmtId="0" fontId="26" fillId="15" borderId="0" xfId="0" applyFont="1" applyFill="1" applyAlignment="1">
      <alignment horizontal="left" wrapText="1"/>
    </xf>
    <xf numFmtId="0" fontId="26" fillId="4" borderId="1" xfId="0" applyFont="1" applyFill="1" applyBorder="1" applyAlignment="1">
      <alignment horizontal="left" wrapText="1"/>
    </xf>
    <xf numFmtId="0" fontId="3" fillId="4" borderId="1" xfId="0" applyFont="1" applyFill="1" applyBorder="1" applyAlignment="1">
      <alignment wrapText="1"/>
    </xf>
    <xf numFmtId="0" fontId="3" fillId="16" borderId="1" xfId="0" applyFont="1" applyFill="1" applyBorder="1" applyAlignment="1">
      <alignment wrapText="1"/>
    </xf>
    <xf numFmtId="0" fontId="26" fillId="16" borderId="0" xfId="0" applyFont="1" applyFill="1" applyAlignment="1">
      <alignment horizontal="left" wrapText="1"/>
    </xf>
    <xf numFmtId="0" fontId="3" fillId="9" borderId="5" xfId="0" applyFont="1" applyFill="1" applyBorder="1" applyAlignment="1">
      <alignment wrapText="1"/>
    </xf>
    <xf numFmtId="0" fontId="26" fillId="10" borderId="0" xfId="0" applyFont="1" applyFill="1" applyAlignment="1">
      <alignment horizontal="left" wrapText="1"/>
    </xf>
    <xf numFmtId="0" fontId="3" fillId="13" borderId="1" xfId="0" applyFont="1" applyFill="1" applyBorder="1" applyAlignment="1">
      <alignment horizontal="left" vertical="center" wrapText="1"/>
    </xf>
    <xf numFmtId="0" fontId="3" fillId="13" borderId="8" xfId="0" applyFont="1" applyFill="1" applyBorder="1" applyAlignment="1">
      <alignment wrapText="1"/>
    </xf>
    <xf numFmtId="0" fontId="23" fillId="14" borderId="1" xfId="0" applyFont="1" applyFill="1" applyBorder="1" applyAlignment="1">
      <alignment wrapText="1"/>
    </xf>
    <xf numFmtId="0" fontId="3" fillId="14" borderId="1" xfId="0" applyFont="1" applyFill="1" applyBorder="1"/>
    <xf numFmtId="0" fontId="3" fillId="5" borderId="1" xfId="0" applyFont="1" applyFill="1" applyBorder="1"/>
    <xf numFmtId="0" fontId="25" fillId="0" borderId="0" xfId="0" applyFont="1" applyAlignment="1">
      <alignment wrapText="1"/>
    </xf>
    <xf numFmtId="0" fontId="25" fillId="0" borderId="13" xfId="0" applyFont="1" applyBorder="1" applyAlignment="1">
      <alignment wrapText="1"/>
    </xf>
    <xf numFmtId="0" fontId="25" fillId="0" borderId="8" xfId="0" applyFont="1" applyBorder="1" applyAlignment="1">
      <alignment wrapText="1"/>
    </xf>
    <xf numFmtId="0" fontId="23" fillId="0" borderId="9" xfId="0" applyFont="1" applyBorder="1" applyAlignment="1">
      <alignment horizontal="right" wrapText="1"/>
    </xf>
    <xf numFmtId="0" fontId="27" fillId="0" borderId="0" xfId="0" applyFont="1"/>
    <xf numFmtId="0" fontId="26" fillId="3" borderId="1" xfId="0" applyFont="1" applyFill="1" applyBorder="1" applyAlignment="1">
      <alignment horizontal="left"/>
    </xf>
    <xf numFmtId="0" fontId="28" fillId="3" borderId="1" xfId="0" applyFont="1" applyFill="1" applyBorder="1"/>
    <xf numFmtId="0" fontId="28" fillId="3" borderId="1" xfId="0" applyFont="1" applyFill="1" applyBorder="1" applyAlignment="1">
      <alignment wrapText="1"/>
    </xf>
    <xf numFmtId="0" fontId="14" fillId="0" borderId="0" xfId="0" applyFont="1" applyAlignment="1">
      <alignment horizontal="center" wrapText="1"/>
    </xf>
    <xf numFmtId="0" fontId="1" fillId="0" borderId="0" xfId="0" applyFont="1" applyAlignment="1">
      <alignment wrapText="1"/>
    </xf>
    <xf numFmtId="0" fontId="17" fillId="0" borderId="0" xfId="0" applyFont="1"/>
    <xf numFmtId="0" fontId="11" fillId="0" borderId="0" xfId="0" applyFont="1" applyAlignment="1">
      <alignment vertical="center" wrapText="1"/>
    </xf>
    <xf numFmtId="0" fontId="6" fillId="0" borderId="1" xfId="0" applyFont="1" applyBorder="1"/>
    <xf numFmtId="0" fontId="4" fillId="0" borderId="0" xfId="0" applyFont="1"/>
    <xf numFmtId="0" fontId="4" fillId="0" borderId="0" xfId="0" applyFont="1" applyAlignment="1">
      <alignment horizontal="right"/>
    </xf>
    <xf numFmtId="0" fontId="11" fillId="0" borderId="0" xfId="0" applyFont="1" applyAlignment="1">
      <alignment wrapText="1"/>
    </xf>
    <xf numFmtId="0" fontId="1" fillId="13" borderId="1" xfId="0" applyFont="1" applyFill="1" applyBorder="1" applyAlignment="1">
      <alignment wrapText="1"/>
    </xf>
    <xf numFmtId="0" fontId="1" fillId="17" borderId="1" xfId="0" applyFont="1" applyFill="1" applyBorder="1" applyAlignment="1">
      <alignment wrapText="1"/>
    </xf>
    <xf numFmtId="0" fontId="29" fillId="3" borderId="0" xfId="0" applyFont="1" applyFill="1" applyAlignment="1">
      <alignment wrapText="1"/>
    </xf>
    <xf numFmtId="0" fontId="29" fillId="3" borderId="0" xfId="0" applyFont="1" applyFill="1"/>
    <xf numFmtId="0" fontId="18" fillId="3" borderId="0" xfId="0" applyFont="1" applyFill="1" applyAlignment="1">
      <alignment wrapText="1"/>
    </xf>
    <xf numFmtId="0" fontId="2" fillId="13" borderId="1" xfId="0" applyFont="1" applyFill="1" applyBorder="1" applyAlignment="1">
      <alignment wrapText="1"/>
    </xf>
    <xf numFmtId="0" fontId="2" fillId="17" borderId="1" xfId="0" applyFont="1" applyFill="1" applyBorder="1" applyAlignment="1">
      <alignment wrapText="1"/>
    </xf>
    <xf numFmtId="0" fontId="30" fillId="3" borderId="0" xfId="0" applyFont="1" applyFill="1" applyAlignment="1">
      <alignment wrapText="1"/>
    </xf>
    <xf numFmtId="0" fontId="20" fillId="3" borderId="0" xfId="0" applyFont="1" applyFill="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wrapText="1"/>
    </xf>
    <xf numFmtId="0" fontId="30" fillId="3" borderId="0" xfId="0" applyFont="1" applyFill="1" applyAlignment="1">
      <alignment horizontal="left" wrapText="1"/>
    </xf>
    <xf numFmtId="0" fontId="2" fillId="13" borderId="1" xfId="0" applyFont="1" applyFill="1" applyBorder="1"/>
    <xf numFmtId="0" fontId="2" fillId="17" borderId="1" xfId="0" applyFont="1" applyFill="1" applyBorder="1"/>
    <xf numFmtId="0" fontId="3" fillId="17" borderId="1" xfId="0" applyFont="1" applyFill="1" applyBorder="1" applyAlignment="1">
      <alignment wrapText="1"/>
    </xf>
    <xf numFmtId="0" fontId="14" fillId="0" borderId="0" xfId="0" applyFont="1" applyAlignment="1">
      <alignment wrapText="1"/>
    </xf>
    <xf numFmtId="0" fontId="4" fillId="13" borderId="1" xfId="0" applyFont="1" applyFill="1" applyBorder="1" applyAlignment="1">
      <alignment wrapText="1"/>
    </xf>
    <xf numFmtId="0" fontId="4" fillId="17" borderId="1" xfId="0" applyFont="1" applyFill="1" applyBorder="1" applyAlignment="1">
      <alignment wrapText="1"/>
    </xf>
    <xf numFmtId="0" fontId="4" fillId="0" borderId="0" xfId="0" applyFont="1" applyAlignment="1">
      <alignment wrapText="1"/>
    </xf>
    <xf numFmtId="0" fontId="2" fillId="13" borderId="5" xfId="0" applyFont="1" applyFill="1" applyBorder="1" applyAlignment="1">
      <alignment wrapText="1"/>
    </xf>
    <xf numFmtId="0" fontId="2" fillId="17" borderId="5" xfId="0" applyFont="1" applyFill="1" applyBorder="1" applyAlignment="1">
      <alignment wrapText="1"/>
    </xf>
    <xf numFmtId="0" fontId="11" fillId="0" borderId="11" xfId="0" applyFont="1" applyBorder="1" applyAlignment="1">
      <alignment vertical="center" wrapText="1"/>
    </xf>
    <xf numFmtId="0" fontId="26" fillId="0" borderId="0" xfId="0" applyFont="1"/>
    <xf numFmtId="0" fontId="11" fillId="0" borderId="1" xfId="0" applyFont="1" applyBorder="1" applyAlignment="1">
      <alignment vertical="center" wrapText="1"/>
    </xf>
    <xf numFmtId="0" fontId="8" fillId="3" borderId="13" xfId="0" applyFont="1" applyFill="1" applyBorder="1" applyAlignment="1">
      <alignment horizontal="right" wrapText="1"/>
    </xf>
    <xf numFmtId="0" fontId="8" fillId="3" borderId="1" xfId="0" applyFont="1" applyFill="1" applyBorder="1" applyAlignment="1">
      <alignment horizontal="left" wrapText="1"/>
    </xf>
    <xf numFmtId="0" fontId="31" fillId="3" borderId="0" xfId="0" applyFont="1" applyFill="1" applyAlignment="1">
      <alignment wrapText="1"/>
    </xf>
    <xf numFmtId="0" fontId="1" fillId="0" borderId="0" xfId="0" applyFont="1" applyAlignment="1">
      <alignment vertical="center" wrapText="1"/>
    </xf>
    <xf numFmtId="0" fontId="8" fillId="0" borderId="0" xfId="0" applyFont="1" applyAlignment="1">
      <alignment wrapText="1"/>
    </xf>
    <xf numFmtId="0" fontId="6" fillId="3" borderId="0" xfId="0" applyFont="1" applyFill="1"/>
    <xf numFmtId="0" fontId="31" fillId="3" borderId="0" xfId="0" applyFont="1" applyFill="1" applyAlignment="1">
      <alignment horizontal="left" wrapText="1"/>
    </xf>
    <xf numFmtId="0" fontId="30" fillId="3" borderId="0" xfId="0" applyFont="1" applyFill="1" applyAlignment="1">
      <alignment horizontal="left"/>
    </xf>
    <xf numFmtId="0" fontId="30" fillId="3" borderId="0" xfId="0" applyFont="1" applyFill="1"/>
    <xf numFmtId="0" fontId="6" fillId="3" borderId="0" xfId="0" applyFont="1" applyFill="1" applyAlignment="1">
      <alignment horizontal="left" vertical="center" wrapText="1"/>
    </xf>
    <xf numFmtId="0" fontId="2" fillId="3" borderId="3" xfId="0" applyFont="1" applyFill="1" applyBorder="1"/>
    <xf numFmtId="0" fontId="9" fillId="0" borderId="8" xfId="0" applyFont="1" applyBorder="1"/>
    <xf numFmtId="0" fontId="6" fillId="3" borderId="6" xfId="0" applyFont="1" applyFill="1" applyBorder="1"/>
    <xf numFmtId="0" fontId="9" fillId="0" borderId="9" xfId="0" applyFont="1" applyBorder="1"/>
    <xf numFmtId="0" fontId="6" fillId="3" borderId="5" xfId="0" applyFont="1" applyFill="1" applyBorder="1"/>
    <xf numFmtId="0" fontId="9" fillId="0" borderId="3" xfId="0" applyFont="1" applyBorder="1"/>
    <xf numFmtId="0" fontId="6" fillId="3" borderId="7" xfId="0" applyFont="1" applyFill="1" applyBorder="1"/>
    <xf numFmtId="0" fontId="9" fillId="0" borderId="10" xfId="0" applyFont="1" applyBorder="1"/>
    <xf numFmtId="0" fontId="2" fillId="3" borderId="5" xfId="0" applyFont="1" applyFill="1" applyBorder="1"/>
    <xf numFmtId="0" fontId="9" fillId="0" borderId="2" xfId="0" applyFont="1" applyBorder="1"/>
    <xf numFmtId="0" fontId="9" fillId="0" borderId="4" xfId="0" applyFont="1" applyBorder="1"/>
    <xf numFmtId="0" fontId="6" fillId="3" borderId="3" xfId="0" applyFont="1" applyFill="1" applyBorder="1"/>
    <xf numFmtId="0" fontId="3" fillId="3" borderId="5" xfId="0" applyFont="1" applyFill="1" applyBorder="1"/>
    <xf numFmtId="0" fontId="10" fillId="3" borderId="5" xfId="0" applyFont="1" applyFill="1" applyBorder="1"/>
    <xf numFmtId="0" fontId="2" fillId="3" borderId="0" xfId="0" applyFont="1" applyFill="1"/>
    <xf numFmtId="0" fontId="0" fillId="0" borderId="0" xfId="0"/>
    <xf numFmtId="0" fontId="3" fillId="3" borderId="7" xfId="0" applyFont="1" applyFill="1" applyBorder="1"/>
    <xf numFmtId="0" fontId="2" fillId="0" borderId="0" xfId="0" applyFont="1" applyAlignment="1">
      <alignment horizontal="center"/>
    </xf>
    <xf numFmtId="0" fontId="3" fillId="0" borderId="14" xfId="0" applyFont="1" applyBorder="1"/>
    <xf numFmtId="0" fontId="9" fillId="0" borderId="24" xfId="0" applyFont="1" applyBorder="1"/>
    <xf numFmtId="0" fontId="9" fillId="0" borderId="13" xfId="0" applyFont="1" applyBorder="1"/>
    <xf numFmtId="0" fontId="3" fillId="0" borderId="0" xfId="0" applyFont="1" applyAlignment="1">
      <alignment horizontal="center"/>
    </xf>
    <xf numFmtId="0" fontId="3" fillId="0" borderId="5" xfId="0" applyFont="1" applyBorder="1" applyAlignment="1">
      <alignment vertical="center"/>
    </xf>
    <xf numFmtId="0" fontId="14" fillId="0" borderId="14" xfId="0" applyFont="1" applyBorder="1"/>
    <xf numFmtId="0" fontId="2" fillId="0" borderId="5" xfId="0" applyFont="1" applyBorder="1" applyAlignment="1">
      <alignment horizontal="center" vertical="center"/>
    </xf>
    <xf numFmtId="0" fontId="2" fillId="0" borderId="5" xfId="0" applyFont="1" applyBorder="1" applyAlignment="1">
      <alignment horizontal="center" vertical="center" wrapText="1"/>
    </xf>
    <xf numFmtId="0" fontId="14" fillId="0" borderId="15" xfId="0" applyFont="1" applyBorder="1" applyAlignment="1">
      <alignment horizontal="center" vertical="center"/>
    </xf>
    <xf numFmtId="0" fontId="9" fillId="0" borderId="16" xfId="0" applyFont="1" applyBorder="1"/>
    <xf numFmtId="0" fontId="9" fillId="0" borderId="17" xfId="0" applyFont="1" applyBorder="1"/>
    <xf numFmtId="0" fontId="9" fillId="0" borderId="18" xfId="0" applyFont="1" applyBorder="1"/>
    <xf numFmtId="0" fontId="9" fillId="0" borderId="19" xfId="0" applyFont="1" applyBorder="1"/>
    <xf numFmtId="0" fontId="9" fillId="0" borderId="20" xfId="0" applyFont="1" applyBorder="1"/>
    <xf numFmtId="0" fontId="9" fillId="0" borderId="21" xfId="0" applyFont="1" applyBorder="1"/>
    <xf numFmtId="0" fontId="9" fillId="0" borderId="22" xfId="0" applyFont="1" applyBorder="1"/>
    <xf numFmtId="0" fontId="21" fillId="3" borderId="15" xfId="0" applyFont="1" applyFill="1" applyBorder="1" applyAlignment="1">
      <alignment horizontal="center" vertical="center"/>
    </xf>
    <xf numFmtId="0" fontId="16" fillId="0" borderId="15" xfId="0" applyFont="1" applyBorder="1" applyAlignment="1">
      <alignment horizontal="center" vertical="center" wrapText="1"/>
    </xf>
    <xf numFmtId="0" fontId="2" fillId="0" borderId="5" xfId="0" applyFont="1" applyBorder="1" applyAlignment="1">
      <alignment horizontal="left" vertical="center" wrapText="1"/>
    </xf>
    <xf numFmtId="0" fontId="2" fillId="0" borderId="14" xfId="0" applyFont="1" applyBorder="1" applyAlignment="1">
      <alignment horizontal="left" vertical="center" wrapText="1"/>
    </xf>
    <xf numFmtId="0" fontId="2" fillId="0" borderId="5" xfId="0" applyFont="1" applyBorder="1"/>
    <xf numFmtId="0" fontId="2" fillId="0" borderId="5" xfId="0" applyFont="1" applyBorder="1" applyAlignment="1">
      <alignment wrapText="1"/>
    </xf>
    <xf numFmtId="0" fontId="14" fillId="0" borderId="14" xfId="0" applyFont="1" applyBorder="1" applyAlignment="1">
      <alignment wrapText="1"/>
    </xf>
    <xf numFmtId="0" fontId="2" fillId="0" borderId="14" xfId="0" applyFont="1" applyBorder="1" applyAlignment="1">
      <alignment wrapText="1"/>
    </xf>
    <xf numFmtId="0" fontId="16" fillId="0" borderId="15" xfId="0" applyFont="1" applyBorder="1" applyAlignment="1">
      <alignment horizontal="center" vertical="center"/>
    </xf>
    <xf numFmtId="0" fontId="16" fillId="3" borderId="15" xfId="0" applyFont="1" applyFill="1" applyBorder="1" applyAlignment="1">
      <alignment horizontal="center" vertical="center" wrapText="1"/>
    </xf>
    <xf numFmtId="0" fontId="16" fillId="7" borderId="15" xfId="0" applyFont="1" applyFill="1" applyBorder="1" applyAlignment="1">
      <alignment horizontal="center" vertical="center" wrapText="1"/>
    </xf>
    <xf numFmtId="0" fontId="16" fillId="3" borderId="15" xfId="0" applyFont="1" applyFill="1" applyBorder="1" applyAlignment="1">
      <alignment horizontal="center" vertical="center"/>
    </xf>
    <xf numFmtId="0" fontId="3" fillId="0" borderId="14" xfId="0" applyFont="1" applyBorder="1" applyAlignment="1">
      <alignment wrapText="1"/>
    </xf>
    <xf numFmtId="0" fontId="14" fillId="0" borderId="16" xfId="0" applyFont="1" applyBorder="1" applyAlignment="1">
      <alignment horizontal="center" vertical="center"/>
    </xf>
    <xf numFmtId="0" fontId="14" fillId="0" borderId="15" xfId="0" applyFont="1" applyBorder="1" applyAlignment="1">
      <alignment horizontal="center" vertical="center" wrapText="1"/>
    </xf>
    <xf numFmtId="0" fontId="3" fillId="0" borderId="0" xfId="0" applyFont="1" applyAlignment="1">
      <alignment horizontal="center" wrapText="1"/>
    </xf>
    <xf numFmtId="0" fontId="3" fillId="0" borderId="4" xfId="0" applyFont="1" applyBorder="1" applyAlignment="1">
      <alignment wrapText="1"/>
    </xf>
    <xf numFmtId="0" fontId="3" fillId="10" borderId="5"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4" borderId="5"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11" borderId="5" xfId="0" applyFont="1" applyFill="1" applyBorder="1" applyAlignment="1">
      <alignment horizontal="left" vertical="center" wrapText="1"/>
    </xf>
    <xf numFmtId="0" fontId="3" fillId="15" borderId="5" xfId="0" applyFont="1" applyFill="1" applyBorder="1" applyAlignment="1">
      <alignment horizontal="left" vertical="center" wrapText="1"/>
    </xf>
    <xf numFmtId="0" fontId="3" fillId="4" borderId="5" xfId="0" applyFont="1" applyFill="1" applyBorder="1" applyAlignment="1">
      <alignment horizontal="left" vertical="center" wrapText="1"/>
    </xf>
    <xf numFmtId="0" fontId="3" fillId="16" borderId="5" xfId="0" applyFont="1" applyFill="1" applyBorder="1" applyAlignment="1">
      <alignment horizontal="left" vertical="center" wrapText="1"/>
    </xf>
    <xf numFmtId="0" fontId="3" fillId="9" borderId="5" xfId="0" applyFont="1" applyFill="1" applyBorder="1" applyAlignment="1">
      <alignment horizontal="left" vertical="center" wrapText="1"/>
    </xf>
    <xf numFmtId="0" fontId="14" fillId="3" borderId="15" xfId="0" applyFont="1" applyFill="1" applyBorder="1" applyAlignment="1">
      <alignment horizontal="center" vertical="center"/>
    </xf>
    <xf numFmtId="0" fontId="14" fillId="3" borderId="14" xfId="0" applyFont="1" applyFill="1" applyBorder="1"/>
    <xf numFmtId="0" fontId="3" fillId="3" borderId="14" xfId="0" applyFont="1" applyFill="1" applyBorder="1" applyAlignment="1">
      <alignment wrapText="1"/>
    </xf>
    <xf numFmtId="0" fontId="3" fillId="0" borderId="7" xfId="0" applyFont="1" applyBorder="1" applyAlignment="1">
      <alignment wrapText="1"/>
    </xf>
    <xf numFmtId="0" fontId="9" fillId="0" borderId="6" xfId="0" applyFont="1" applyBorder="1"/>
    <xf numFmtId="0" fontId="3" fillId="0" borderId="11" xfId="0" applyFont="1" applyBorder="1" applyAlignment="1">
      <alignment wrapText="1"/>
    </xf>
    <xf numFmtId="0" fontId="9" fillId="0" borderId="11" xfId="0" applyFont="1" applyBorder="1"/>
    <xf numFmtId="0" fontId="24" fillId="3" borderId="15" xfId="0" applyFont="1" applyFill="1" applyBorder="1" applyAlignment="1">
      <alignment horizontal="center" vertical="center" wrapText="1"/>
    </xf>
    <xf numFmtId="0" fontId="23" fillId="0" borderId="5" xfId="0" applyFont="1" applyBorder="1" applyAlignment="1">
      <alignment horizontal="center" vertical="center" wrapText="1"/>
    </xf>
    <xf numFmtId="0" fontId="25" fillId="0" borderId="14" xfId="0" applyFont="1" applyBorder="1" applyAlignment="1">
      <alignment wrapText="1"/>
    </xf>
    <xf numFmtId="0" fontId="23" fillId="0" borderId="3" xfId="0" applyFont="1" applyBorder="1" applyAlignment="1">
      <alignment horizontal="center" vertical="center" wrapText="1"/>
    </xf>
    <xf numFmtId="0" fontId="3" fillId="0" borderId="5"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3" fillId="0" borderId="5" xfId="0" applyFont="1" applyBorder="1" applyAlignment="1">
      <alignment horizontal="center" vertical="center" wrapText="1"/>
    </xf>
    <xf numFmtId="0" fontId="1" fillId="0" borderId="5" xfId="0" applyFont="1" applyBorder="1" applyAlignment="1">
      <alignment vertical="center" wrapText="1"/>
    </xf>
    <xf numFmtId="0" fontId="11" fillId="0" borderId="5" xfId="0" applyFont="1" applyBorder="1" applyAlignment="1">
      <alignment vertical="center" wrapText="1"/>
    </xf>
    <xf numFmtId="0" fontId="0" fillId="0" borderId="0" xfId="0" applyBorder="1"/>
    <xf numFmtId="0" fontId="2" fillId="3" borderId="0" xfId="0" applyFont="1" applyFill="1" applyBorder="1" applyAlignment="1">
      <alignment wrapText="1"/>
    </xf>
    <xf numFmtId="0" fontId="2" fillId="3" borderId="0" xfId="0" applyFont="1" applyFill="1" applyBorder="1" applyAlignment="1"/>
    <xf numFmtId="0" fontId="33" fillId="0" borderId="0" xfId="0" applyFont="1" applyBorder="1" applyAlignment="1">
      <alignment wrapText="1"/>
    </xf>
    <xf numFmtId="0" fontId="34" fillId="0" borderId="0" xfId="0" applyFont="1" applyBorder="1"/>
    <xf numFmtId="0" fontId="35" fillId="0" borderId="0" xfId="0" applyFont="1" applyBorder="1"/>
    <xf numFmtId="0" fontId="34" fillId="3" borderId="0" xfId="0" applyFont="1" applyFill="1" applyBorder="1" applyAlignment="1">
      <alignment horizontal="left"/>
    </xf>
    <xf numFmtId="0" fontId="33" fillId="3"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pieChart>
        <c:varyColors val="1"/>
        <c:ser>
          <c:idx val="0"/>
          <c:order val="0"/>
          <c:dPt>
            <c:idx val="0"/>
            <c:bubble3D val="0"/>
            <c:spPr>
              <a:solidFill>
                <a:srgbClr val="000000"/>
              </a:solidFill>
            </c:spPr>
            <c:extLst>
              <c:ext xmlns:c16="http://schemas.microsoft.com/office/drawing/2014/chart" uri="{C3380CC4-5D6E-409C-BE32-E72D297353CC}">
                <c16:uniqueId val="{00000001-32F1-1E40-9907-8493E2D2046C}"/>
              </c:ext>
            </c:extLst>
          </c:dPt>
          <c:dPt>
            <c:idx val="1"/>
            <c:bubble3D val="0"/>
            <c:spPr>
              <a:solidFill>
                <a:srgbClr val="666666"/>
              </a:solidFill>
            </c:spPr>
            <c:extLst>
              <c:ext xmlns:c16="http://schemas.microsoft.com/office/drawing/2014/chart" uri="{C3380CC4-5D6E-409C-BE32-E72D297353CC}">
                <c16:uniqueId val="{00000003-32F1-1E40-9907-8493E2D2046C}"/>
              </c:ext>
            </c:extLst>
          </c:dPt>
          <c:dPt>
            <c:idx val="2"/>
            <c:bubble3D val="0"/>
            <c:spPr>
              <a:solidFill>
                <a:srgbClr val="CCCCCC"/>
              </a:solidFill>
            </c:spPr>
            <c:extLst>
              <c:ext xmlns:c16="http://schemas.microsoft.com/office/drawing/2014/chart" uri="{C3380CC4-5D6E-409C-BE32-E72D297353CC}">
                <c16:uniqueId val="{00000005-32F1-1E40-9907-8493E2D2046C}"/>
              </c:ext>
            </c:extLst>
          </c:dPt>
          <c:dPt>
            <c:idx val="3"/>
            <c:bubble3D val="0"/>
            <c:spPr>
              <a:solidFill>
                <a:srgbClr val="F3F3F3"/>
              </a:solidFill>
            </c:spPr>
            <c:extLst>
              <c:ext xmlns:c16="http://schemas.microsoft.com/office/drawing/2014/chart" uri="{C3380CC4-5D6E-409C-BE32-E72D297353CC}">
                <c16:uniqueId val="{00000007-32F1-1E40-9907-8493E2D2046C}"/>
              </c:ext>
            </c:extLst>
          </c:dPt>
          <c:dLbls>
            <c:dLbl>
              <c:idx val="0"/>
              <c:spPr/>
              <c:txPr>
                <a:bodyPr/>
                <a:lstStyle/>
                <a:p>
                  <a:pPr lvl="0">
                    <a:defRPr>
                      <a:solidFill>
                        <a:srgbClr val="FFFFFF"/>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32F1-1E40-9907-8493E2D2046C}"/>
                </c:ext>
              </c:extLst>
            </c:dLbl>
            <c:dLbl>
              <c:idx val="1"/>
              <c:spPr/>
              <c:txPr>
                <a:bodyPr/>
                <a:lstStyle/>
                <a:p>
                  <a:pPr lvl="0">
                    <a:defRPr>
                      <a:solidFill>
                        <a:srgbClr val="FFFFFF"/>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3-32F1-1E40-9907-8493E2D2046C}"/>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'Publication Trends'!$B$16:$B$19</c:f>
              <c:strCache>
                <c:ptCount val="4"/>
                <c:pt idx="0">
                  <c:v>Journal</c:v>
                </c:pt>
                <c:pt idx="1">
                  <c:v>Conference</c:v>
                </c:pt>
                <c:pt idx="2">
                  <c:v>Workshop</c:v>
                </c:pt>
                <c:pt idx="3">
                  <c:v>Symposium</c:v>
                </c:pt>
              </c:strCache>
            </c:strRef>
          </c:cat>
          <c:val>
            <c:numRef>
              <c:f>'Publication Trends'!$C$16:$C$19</c:f>
              <c:numCache>
                <c:formatCode>General</c:formatCode>
                <c:ptCount val="4"/>
                <c:pt idx="0">
                  <c:v>17</c:v>
                </c:pt>
                <c:pt idx="1">
                  <c:v>18</c:v>
                </c:pt>
                <c:pt idx="2">
                  <c:v>9</c:v>
                </c:pt>
                <c:pt idx="3">
                  <c:v>2</c:v>
                </c:pt>
              </c:numCache>
            </c:numRef>
          </c:val>
          <c:extLst>
            <c:ext xmlns:c16="http://schemas.microsoft.com/office/drawing/2014/chart" uri="{C3380CC4-5D6E-409C-BE32-E72D297353CC}">
              <c16:uniqueId val="{00000008-32F1-1E40-9907-8493E2D2046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'RQ2 MDE approaches for ML'!$C$83</c:f>
              <c:strCache>
                <c:ptCount val="1"/>
                <c:pt idx="0">
                  <c:v>No. of Studies</c:v>
                </c:pt>
              </c:strCache>
            </c:strRef>
          </c:tx>
          <c:spPr>
            <a:solidFill>
              <a:srgbClr val="000000"/>
            </a:solidFill>
            <a:ln cmpd="sng">
              <a:solidFill>
                <a:srgbClr val="000000"/>
              </a:solidFill>
            </a:ln>
          </c:spPr>
          <c:invertIfNegative val="1"/>
          <c:cat>
            <c:strRef>
              <c:f>'RQ2 MDE approaches for ML'!$B$84:$B$99</c:f>
              <c:strCache>
                <c:ptCount val="16"/>
                <c:pt idx="0">
                  <c:v>Requirements Engineering</c:v>
                </c:pt>
                <c:pt idx="1">
                  <c:v>Data generation</c:v>
                </c:pt>
                <c:pt idx="2">
                  <c:v>Data preprocessing</c:v>
                </c:pt>
                <c:pt idx="3">
                  <c:v>Data Storage</c:v>
                </c:pt>
                <c:pt idx="4">
                  <c:v>Data Visualisation</c:v>
                </c:pt>
                <c:pt idx="5">
                  <c:v>Design &amp; development</c:v>
                </c:pt>
                <c:pt idx="6">
                  <c:v>Training</c:v>
                </c:pt>
                <c:pt idx="7">
                  <c:v>Evaluation</c:v>
                </c:pt>
                <c:pt idx="8">
                  <c:v>Integration</c:v>
                </c:pt>
                <c:pt idx="9">
                  <c:v>Deployment</c:v>
                </c:pt>
                <c:pt idx="10">
                  <c:v>Inference</c:v>
                </c:pt>
                <c:pt idx="11">
                  <c:v>Monitoring</c:v>
                </c:pt>
                <c:pt idx="12">
                  <c:v>Management</c:v>
                </c:pt>
                <c:pt idx="13">
                  <c:v>Documentation</c:v>
                </c:pt>
                <c:pt idx="14">
                  <c:v>Pipeline development</c:v>
                </c:pt>
                <c:pt idx="15">
                  <c:v>ML knowledge base</c:v>
                </c:pt>
              </c:strCache>
            </c:strRef>
          </c:cat>
          <c:val>
            <c:numRef>
              <c:f>'RQ2 MDE approaches for ML'!$C$84:$C$99</c:f>
              <c:numCache>
                <c:formatCode>General</c:formatCode>
                <c:ptCount val="16"/>
                <c:pt idx="0">
                  <c:v>5</c:v>
                </c:pt>
                <c:pt idx="1">
                  <c:v>2</c:v>
                </c:pt>
                <c:pt idx="2">
                  <c:v>3</c:v>
                </c:pt>
                <c:pt idx="3">
                  <c:v>1</c:v>
                </c:pt>
                <c:pt idx="4">
                  <c:v>1</c:v>
                </c:pt>
                <c:pt idx="5">
                  <c:v>28</c:v>
                </c:pt>
                <c:pt idx="6">
                  <c:v>22</c:v>
                </c:pt>
                <c:pt idx="7">
                  <c:v>7</c:v>
                </c:pt>
                <c:pt idx="8">
                  <c:v>4</c:v>
                </c:pt>
                <c:pt idx="9">
                  <c:v>10</c:v>
                </c:pt>
                <c:pt idx="10">
                  <c:v>7</c:v>
                </c:pt>
                <c:pt idx="11">
                  <c:v>2</c:v>
                </c:pt>
                <c:pt idx="12">
                  <c:v>6</c:v>
                </c:pt>
                <c:pt idx="13">
                  <c:v>1</c:v>
                </c:pt>
                <c:pt idx="14">
                  <c:v>4</c:v>
                </c:pt>
                <c:pt idx="1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090-5344-A2DD-A49DD81D592D}"/>
            </c:ext>
          </c:extLst>
        </c:ser>
        <c:dLbls>
          <c:showLegendKey val="0"/>
          <c:showVal val="0"/>
          <c:showCatName val="0"/>
          <c:showSerName val="0"/>
          <c:showPercent val="0"/>
          <c:showBubbleSize val="0"/>
        </c:dLbls>
        <c:gapWidth val="150"/>
        <c:overlap val="100"/>
        <c:axId val="283973067"/>
        <c:axId val="969308838"/>
      </c:barChart>
      <c:catAx>
        <c:axId val="283973067"/>
        <c:scaling>
          <c:orientation val="minMax"/>
        </c:scaling>
        <c:delete val="0"/>
        <c:axPos val="b"/>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69308838"/>
        <c:crosses val="autoZero"/>
        <c:auto val="1"/>
        <c:lblAlgn val="ctr"/>
        <c:lblOffset val="100"/>
        <c:noMultiLvlLbl val="1"/>
      </c:catAx>
      <c:valAx>
        <c:axId val="969308838"/>
        <c:scaling>
          <c:orientation val="minMax"/>
          <c:max val="3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8397306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000000"/>
            </a:solidFill>
            <a:ln cmpd="sng">
              <a:solidFill>
                <a:srgbClr val="000000"/>
              </a:solidFill>
            </a:ln>
          </c:spPr>
          <c:invertIfNegative val="1"/>
          <c:cat>
            <c:strRef>
              <c:f>'RQ2 MDE approaches for ML'!$J$90:$J$92</c:f>
              <c:strCache>
                <c:ptCount val="3"/>
                <c:pt idx="0">
                  <c:v>New DSL </c:v>
                </c:pt>
                <c:pt idx="1">
                  <c:v>Language Extension</c:v>
                </c:pt>
                <c:pt idx="2">
                  <c:v>GPL</c:v>
                </c:pt>
              </c:strCache>
            </c:strRef>
          </c:cat>
          <c:val>
            <c:numRef>
              <c:f>'RQ2 MDE approaches for ML'!$K$90:$K$92</c:f>
              <c:numCache>
                <c:formatCode>General</c:formatCode>
                <c:ptCount val="3"/>
                <c:pt idx="0">
                  <c:v>34</c:v>
                </c:pt>
                <c:pt idx="1">
                  <c:v>3</c:v>
                </c:pt>
                <c:pt idx="2">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B64-4944-8793-24D97EAF7D23}"/>
            </c:ext>
          </c:extLst>
        </c:ser>
        <c:ser>
          <c:idx val="1"/>
          <c:order val="1"/>
          <c:invertIfNegative val="1"/>
          <c:cat>
            <c:strRef>
              <c:f>'RQ2 MDE approaches for ML'!$J$90:$J$92</c:f>
              <c:strCache>
                <c:ptCount val="3"/>
                <c:pt idx="0">
                  <c:v>New DSL </c:v>
                </c:pt>
                <c:pt idx="1">
                  <c:v>Language Extension</c:v>
                </c:pt>
                <c:pt idx="2">
                  <c:v>GPL</c:v>
                </c:pt>
              </c:strCache>
            </c:strRef>
          </c:cat>
          <c:val>
            <c:numRef>
              <c:f>'RQ2 MDE approaches for ML'!$L$90:$L$92</c:f>
              <c:numCache>
                <c:formatCode>General</c:formatCode>
                <c:ptCount val="3"/>
              </c:numCache>
            </c:numRef>
          </c:val>
          <c:extLst>
            <c:ext xmlns:c16="http://schemas.microsoft.com/office/drawing/2014/chart" uri="{C3380CC4-5D6E-409C-BE32-E72D297353CC}">
              <c16:uniqueId val="{00000001-9B64-4944-8793-24D97EAF7D23}"/>
            </c:ext>
          </c:extLst>
        </c:ser>
        <c:dLbls>
          <c:showLegendKey val="0"/>
          <c:showVal val="0"/>
          <c:showCatName val="0"/>
          <c:showSerName val="0"/>
          <c:showPercent val="0"/>
          <c:showBubbleSize val="0"/>
        </c:dLbls>
        <c:gapWidth val="150"/>
        <c:axId val="1172953871"/>
        <c:axId val="554329873"/>
      </c:barChart>
      <c:catAx>
        <c:axId val="1172953871"/>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54329873"/>
        <c:crosses val="autoZero"/>
        <c:auto val="1"/>
        <c:lblAlgn val="ctr"/>
        <c:lblOffset val="100"/>
        <c:noMultiLvlLbl val="1"/>
      </c:catAx>
      <c:valAx>
        <c:axId val="55432987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72953871"/>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000000"/>
            </a:solidFill>
            <a:ln cmpd="sng">
              <a:solidFill>
                <a:srgbClr val="000000"/>
              </a:solidFill>
            </a:ln>
          </c:spPr>
          <c:invertIfNegative val="1"/>
          <c:cat>
            <c:strRef>
              <c:f>'RQ2 MDE approaches for ML'!$G$68:$G$69</c:f>
              <c:strCache>
                <c:ptCount val="2"/>
                <c:pt idx="0">
                  <c:v>Yes</c:v>
                </c:pt>
                <c:pt idx="1">
                  <c:v>No</c:v>
                </c:pt>
              </c:strCache>
            </c:strRef>
          </c:cat>
          <c:val>
            <c:numRef>
              <c:f>'RQ2 MDE approaches for ML'!$H$68:$H$69</c:f>
              <c:numCache>
                <c:formatCode>General</c:formatCode>
                <c:ptCount val="2"/>
                <c:pt idx="0">
                  <c:v>9</c:v>
                </c:pt>
                <c:pt idx="1">
                  <c:v>37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3E5-4D40-B5D5-197685BA41E9}"/>
            </c:ext>
          </c:extLst>
        </c:ser>
        <c:dLbls>
          <c:showLegendKey val="0"/>
          <c:showVal val="0"/>
          <c:showCatName val="0"/>
          <c:showSerName val="0"/>
          <c:showPercent val="0"/>
          <c:showBubbleSize val="0"/>
        </c:dLbls>
        <c:gapWidth val="150"/>
        <c:axId val="1341826568"/>
        <c:axId val="351633488"/>
      </c:barChart>
      <c:catAx>
        <c:axId val="1341826568"/>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51633488"/>
        <c:crosses val="autoZero"/>
        <c:auto val="1"/>
        <c:lblAlgn val="ctr"/>
        <c:lblOffset val="100"/>
        <c:noMultiLvlLbl val="1"/>
      </c:catAx>
      <c:valAx>
        <c:axId val="3516334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41826568"/>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AU" b="0">
                <a:solidFill>
                  <a:srgbClr val="757575"/>
                </a:solidFill>
                <a:latin typeface="+mn-lt"/>
              </a:rPr>
              <a:t>Tool and Data Availability</a:t>
            </a:r>
          </a:p>
        </c:rich>
      </c:tx>
      <c:overlay val="0"/>
    </c:title>
    <c:autoTitleDeleted val="0"/>
    <c:plotArea>
      <c:layout/>
      <c:barChart>
        <c:barDir val="col"/>
        <c:grouping val="stacked"/>
        <c:varyColors val="1"/>
        <c:ser>
          <c:idx val="0"/>
          <c:order val="0"/>
          <c:tx>
            <c:v>Tool Data Available</c:v>
          </c:tx>
          <c:spPr>
            <a:solidFill>
              <a:srgbClr val="000000"/>
            </a:solidFill>
            <a:ln cmpd="sng">
              <a:solidFill>
                <a:srgbClr val="000000"/>
              </a:solidFill>
            </a:ln>
          </c:spPr>
          <c:invertIfNegative val="1"/>
          <c:dPt>
            <c:idx val="0"/>
            <c:invertIfNegative val="1"/>
            <c:bubble3D val="0"/>
            <c:extLst>
              <c:ext xmlns:c16="http://schemas.microsoft.com/office/drawing/2014/chart" uri="{C3380CC4-5D6E-409C-BE32-E72D297353CC}">
                <c16:uniqueId val="{00000000-9358-5A44-8B90-AE1CDBC0789B}"/>
              </c:ext>
            </c:extLst>
          </c:dPt>
          <c:cat>
            <c:strRef>
              <c:f>'RQ3 Evaluation &amp; Tools'!$R$7:$R$9</c:f>
              <c:strCache>
                <c:ptCount val="3"/>
                <c:pt idx="0">
                  <c:v>Open source tool</c:v>
                </c:pt>
                <c:pt idx="1">
                  <c:v>Proprietary tool</c:v>
                </c:pt>
                <c:pt idx="2">
                  <c:v>No Tool</c:v>
                </c:pt>
              </c:strCache>
            </c:strRef>
          </c:cat>
          <c:val>
            <c:numRef>
              <c:f>'RQ3 Evaluation &amp; Tools'!$S$7:$S$9</c:f>
              <c:numCache>
                <c:formatCode>General</c:formatCode>
                <c:ptCount val="3"/>
                <c:pt idx="0">
                  <c:v>14</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358-5A44-8B90-AE1CDBC0789B}"/>
            </c:ext>
          </c:extLst>
        </c:ser>
        <c:ser>
          <c:idx val="1"/>
          <c:order val="1"/>
          <c:tx>
            <c:v>Tool Data Not available</c:v>
          </c:tx>
          <c:spPr>
            <a:solidFill>
              <a:srgbClr val="666666"/>
            </a:solidFill>
            <a:ln cmpd="sng">
              <a:solidFill>
                <a:srgbClr val="000000"/>
              </a:solidFill>
            </a:ln>
          </c:spPr>
          <c:invertIfNegative val="1"/>
          <c:dPt>
            <c:idx val="0"/>
            <c:invertIfNegative val="1"/>
            <c:bubble3D val="0"/>
            <c:extLst>
              <c:ext xmlns:c16="http://schemas.microsoft.com/office/drawing/2014/chart" uri="{C3380CC4-5D6E-409C-BE32-E72D297353CC}">
                <c16:uniqueId val="{00000002-9358-5A44-8B90-AE1CDBC0789B}"/>
              </c:ext>
            </c:extLst>
          </c:dPt>
          <c:cat>
            <c:strRef>
              <c:f>'RQ3 Evaluation &amp; Tools'!$R$7:$R$9</c:f>
              <c:strCache>
                <c:ptCount val="3"/>
                <c:pt idx="0">
                  <c:v>Open source tool</c:v>
                </c:pt>
                <c:pt idx="1">
                  <c:v>Proprietary tool</c:v>
                </c:pt>
                <c:pt idx="2">
                  <c:v>No Tool</c:v>
                </c:pt>
              </c:strCache>
            </c:strRef>
          </c:cat>
          <c:val>
            <c:numRef>
              <c:f>'RQ3 Evaluation &amp; Tools'!$T$7:$T$9</c:f>
              <c:numCache>
                <c:formatCode>General</c:formatCode>
                <c:ptCount val="3"/>
                <c:pt idx="0">
                  <c:v>3</c:v>
                </c:pt>
                <c:pt idx="1">
                  <c:v>6</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358-5A44-8B90-AE1CDBC0789B}"/>
            </c:ext>
          </c:extLst>
        </c:ser>
        <c:ser>
          <c:idx val="2"/>
          <c:order val="2"/>
          <c:tx>
            <c:strRef>
              <c:f>'RQ3 Evaluation &amp; Tools'!$U$6</c:f>
              <c:strCache>
                <c:ptCount val="1"/>
                <c:pt idx="0">
                  <c:v>N/A</c:v>
                </c:pt>
              </c:strCache>
            </c:strRef>
          </c:tx>
          <c:spPr>
            <a:solidFill>
              <a:srgbClr val="B7B7B7"/>
            </a:solidFill>
            <a:ln cmpd="sng">
              <a:solidFill>
                <a:srgbClr val="000000"/>
              </a:solidFill>
            </a:ln>
          </c:spPr>
          <c:invertIfNegative val="1"/>
          <c:cat>
            <c:strRef>
              <c:f>'RQ3 Evaluation &amp; Tools'!$R$7:$R$9</c:f>
              <c:strCache>
                <c:ptCount val="3"/>
                <c:pt idx="0">
                  <c:v>Open source tool</c:v>
                </c:pt>
                <c:pt idx="1">
                  <c:v>Proprietary tool</c:v>
                </c:pt>
                <c:pt idx="2">
                  <c:v>No Tool</c:v>
                </c:pt>
              </c:strCache>
            </c:strRef>
          </c:cat>
          <c:val>
            <c:numRef>
              <c:f>'RQ3 Evaluation &amp; Tools'!$U$7:$U$9</c:f>
              <c:numCache>
                <c:formatCode>General</c:formatCode>
                <c:ptCount val="3"/>
                <c:pt idx="0">
                  <c:v>0</c:v>
                </c:pt>
                <c:pt idx="1">
                  <c:v>0</c:v>
                </c:pt>
                <c:pt idx="2">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358-5A44-8B90-AE1CDBC0789B}"/>
            </c:ext>
          </c:extLst>
        </c:ser>
        <c:dLbls>
          <c:showLegendKey val="0"/>
          <c:showVal val="0"/>
          <c:showCatName val="0"/>
          <c:showSerName val="0"/>
          <c:showPercent val="0"/>
          <c:showBubbleSize val="0"/>
        </c:dLbls>
        <c:gapWidth val="150"/>
        <c:overlap val="100"/>
        <c:axId val="1051273180"/>
        <c:axId val="853343130"/>
      </c:barChart>
      <c:catAx>
        <c:axId val="1051273180"/>
        <c:scaling>
          <c:orientation val="minMax"/>
        </c:scaling>
        <c:delete val="0"/>
        <c:axPos val="b"/>
        <c:title>
          <c:tx>
            <c:rich>
              <a:bodyPr/>
              <a:lstStyle/>
              <a:p>
                <a:pPr lvl="0">
                  <a:defRPr b="0">
                    <a:solidFill>
                      <a:srgbClr val="000000"/>
                    </a:solidFill>
                    <a:latin typeface="+mn-lt"/>
                  </a:defRPr>
                </a:pPr>
                <a:r>
                  <a:rPr lang="en-AU" b="0">
                    <a:solidFill>
                      <a:srgbClr val="000000"/>
                    </a:solidFill>
                    <a:latin typeface="+mn-lt"/>
                  </a:rPr>
                  <a:t>Tool Availability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53343130"/>
        <c:crosses val="autoZero"/>
        <c:auto val="1"/>
        <c:lblAlgn val="ctr"/>
        <c:lblOffset val="100"/>
        <c:noMultiLvlLbl val="1"/>
      </c:catAx>
      <c:valAx>
        <c:axId val="8533431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5127318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000000"/>
            </a:solidFill>
            <a:ln cmpd="sng">
              <a:solidFill>
                <a:srgbClr val="000000"/>
              </a:solidFill>
            </a:ln>
          </c:spPr>
          <c:invertIfNegative val="1"/>
          <c:cat>
            <c:strRef>
              <c:f>'RQ3 Evaluation &amp; Tools'!$P$70:$P$72</c:f>
              <c:strCache>
                <c:ptCount val="3"/>
                <c:pt idx="0">
                  <c:v>Yes</c:v>
                </c:pt>
                <c:pt idx="1">
                  <c:v>No</c:v>
                </c:pt>
                <c:pt idx="2">
                  <c:v>Not mentioned</c:v>
                </c:pt>
              </c:strCache>
            </c:strRef>
          </c:cat>
          <c:val>
            <c:numRef>
              <c:f>'RQ3 Evaluation &amp; Tools'!$Q$70:$Q$72</c:f>
              <c:numCache>
                <c:formatCode>General</c:formatCode>
                <c:ptCount val="3"/>
                <c:pt idx="0">
                  <c:v>10</c:v>
                </c:pt>
                <c:pt idx="1">
                  <c:v>2</c:v>
                </c:pt>
                <c:pt idx="2">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899-D049-A80E-577A48C11A8F}"/>
            </c:ext>
          </c:extLst>
        </c:ser>
        <c:dLbls>
          <c:showLegendKey val="0"/>
          <c:showVal val="0"/>
          <c:showCatName val="0"/>
          <c:showSerName val="0"/>
          <c:showPercent val="0"/>
          <c:showBubbleSize val="0"/>
        </c:dLbls>
        <c:gapWidth val="150"/>
        <c:axId val="98026305"/>
        <c:axId val="504870946"/>
      </c:barChart>
      <c:catAx>
        <c:axId val="98026305"/>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04870946"/>
        <c:crosses val="autoZero"/>
        <c:auto val="1"/>
        <c:lblAlgn val="ctr"/>
        <c:lblOffset val="100"/>
        <c:noMultiLvlLbl val="1"/>
      </c:catAx>
      <c:valAx>
        <c:axId val="5048709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8026305"/>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stacked"/>
        <c:varyColors val="1"/>
        <c:ser>
          <c:idx val="0"/>
          <c:order val="0"/>
          <c:spPr>
            <a:solidFill>
              <a:srgbClr val="000000"/>
            </a:solidFill>
            <a:ln cmpd="sng">
              <a:solidFill>
                <a:srgbClr val="000000"/>
              </a:solidFill>
            </a:ln>
          </c:spPr>
          <c:invertIfNegative val="1"/>
          <c:cat>
            <c:strRef>
              <c:f>'RQ3 Evaluation &amp; Tools'!$B$7:$B$10</c:f>
              <c:strCache>
                <c:ptCount val="4"/>
                <c:pt idx="0">
                  <c:v>Case study</c:v>
                </c:pt>
                <c:pt idx="1">
                  <c:v>Experiment</c:v>
                </c:pt>
                <c:pt idx="2">
                  <c:v>Criteria-based Assesment</c:v>
                </c:pt>
                <c:pt idx="3">
                  <c:v>No Evaluation</c:v>
                </c:pt>
              </c:strCache>
            </c:strRef>
          </c:cat>
          <c:val>
            <c:numRef>
              <c:f>'RQ3 Evaluation &amp; Tools'!$C$7:$C$10</c:f>
              <c:numCache>
                <c:formatCode>General</c:formatCode>
                <c:ptCount val="4"/>
                <c:pt idx="0">
                  <c:v>23</c:v>
                </c:pt>
                <c:pt idx="1">
                  <c:v>17</c:v>
                </c:pt>
                <c:pt idx="2">
                  <c:v>2</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035-FF4F-85E7-B9DAD101D975}"/>
            </c:ext>
          </c:extLst>
        </c:ser>
        <c:dLbls>
          <c:showLegendKey val="0"/>
          <c:showVal val="0"/>
          <c:showCatName val="0"/>
          <c:showSerName val="0"/>
          <c:showPercent val="0"/>
          <c:showBubbleSize val="0"/>
        </c:dLbls>
        <c:gapWidth val="150"/>
        <c:overlap val="100"/>
        <c:axId val="1580901938"/>
        <c:axId val="545698183"/>
      </c:barChart>
      <c:catAx>
        <c:axId val="1580901938"/>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45698183"/>
        <c:crosses val="autoZero"/>
        <c:auto val="1"/>
        <c:lblAlgn val="ctr"/>
        <c:lblOffset val="100"/>
        <c:noMultiLvlLbl val="1"/>
      </c:catAx>
      <c:valAx>
        <c:axId val="54569818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80901938"/>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000000"/>
            </a:solidFill>
            <a:ln cmpd="sng">
              <a:solidFill>
                <a:srgbClr val="000000"/>
              </a:solidFill>
            </a:ln>
          </c:spPr>
          <c:invertIfNegative val="1"/>
          <c:cat>
            <c:strRef>
              <c:f>'RQ3 Evaluation &amp; Tools'!$G$7:$G$9</c:f>
              <c:strCache>
                <c:ptCount val="3"/>
                <c:pt idx="0">
                  <c:v>Academia</c:v>
                </c:pt>
                <c:pt idx="1">
                  <c:v>Industry</c:v>
                </c:pt>
                <c:pt idx="2">
                  <c:v>Academia &amp; Industry</c:v>
                </c:pt>
              </c:strCache>
            </c:strRef>
          </c:cat>
          <c:val>
            <c:numRef>
              <c:f>'RQ3 Evaluation &amp; Tools'!$H$7:$H$9</c:f>
              <c:numCache>
                <c:formatCode>General</c:formatCode>
                <c:ptCount val="3"/>
                <c:pt idx="0">
                  <c:v>41</c:v>
                </c:pt>
                <c:pt idx="1">
                  <c:v>4</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40C-484C-AE06-FDFAB459F370}"/>
            </c:ext>
          </c:extLst>
        </c:ser>
        <c:dLbls>
          <c:showLegendKey val="0"/>
          <c:showVal val="0"/>
          <c:showCatName val="0"/>
          <c:showSerName val="0"/>
          <c:showPercent val="0"/>
          <c:showBubbleSize val="0"/>
        </c:dLbls>
        <c:gapWidth val="150"/>
        <c:axId val="1085115864"/>
        <c:axId val="955221753"/>
      </c:barChart>
      <c:catAx>
        <c:axId val="1085115864"/>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55221753"/>
        <c:crosses val="autoZero"/>
        <c:auto val="1"/>
        <c:lblAlgn val="ctr"/>
        <c:lblOffset val="100"/>
        <c:noMultiLvlLbl val="1"/>
      </c:catAx>
      <c:valAx>
        <c:axId val="955221753"/>
        <c:scaling>
          <c:orientation val="minMax"/>
          <c:max val="4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85115864"/>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000000"/>
            </a:solidFill>
            <a:ln cmpd="sng">
              <a:solidFill>
                <a:srgbClr val="000000"/>
              </a:solidFill>
            </a:ln>
          </c:spPr>
          <c:invertIfNegative val="1"/>
          <c:dPt>
            <c:idx val="0"/>
            <c:invertIfNegative val="1"/>
            <c:bubble3D val="0"/>
            <c:extLst>
              <c:ext xmlns:c16="http://schemas.microsoft.com/office/drawing/2014/chart" uri="{C3380CC4-5D6E-409C-BE32-E72D297353CC}">
                <c16:uniqueId val="{00000000-A657-D143-B8C0-52A3D7FC4CD6}"/>
              </c:ext>
            </c:extLst>
          </c:dPt>
          <c:cat>
            <c:strRef>
              <c:f>'RQ3 Evaluation &amp; Tools'!$L$7:$L$9</c:f>
              <c:strCache>
                <c:ptCount val="3"/>
                <c:pt idx="0">
                  <c:v>Open Source Tool</c:v>
                </c:pt>
                <c:pt idx="1">
                  <c:v>Proprietary Tool</c:v>
                </c:pt>
                <c:pt idx="2">
                  <c:v>No Tool Mentioned</c:v>
                </c:pt>
              </c:strCache>
            </c:strRef>
          </c:cat>
          <c:val>
            <c:numRef>
              <c:f>'RQ3 Evaluation &amp; Tools'!$M$7:$M$9</c:f>
              <c:numCache>
                <c:formatCode>General</c:formatCode>
                <c:ptCount val="3"/>
                <c:pt idx="0">
                  <c:v>17</c:v>
                </c:pt>
                <c:pt idx="1">
                  <c:v>6</c:v>
                </c:pt>
                <c:pt idx="2">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657-D143-B8C0-52A3D7FC4CD6}"/>
            </c:ext>
          </c:extLst>
        </c:ser>
        <c:dLbls>
          <c:showLegendKey val="0"/>
          <c:showVal val="0"/>
          <c:showCatName val="0"/>
          <c:showSerName val="0"/>
          <c:showPercent val="0"/>
          <c:showBubbleSize val="0"/>
        </c:dLbls>
        <c:gapWidth val="150"/>
        <c:axId val="1778266764"/>
        <c:axId val="631368554"/>
      </c:barChart>
      <c:catAx>
        <c:axId val="1778266764"/>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31368554"/>
        <c:crosses val="autoZero"/>
        <c:auto val="1"/>
        <c:lblAlgn val="ctr"/>
        <c:lblOffset val="100"/>
        <c:noMultiLvlLbl val="1"/>
      </c:catAx>
      <c:valAx>
        <c:axId val="6313685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78266764"/>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000000"/>
            </a:solidFill>
            <a:ln cmpd="sng">
              <a:solidFill>
                <a:srgbClr val="000000"/>
              </a:solidFill>
              <a:prstDash val="solid"/>
            </a:ln>
          </c:spPr>
          <c:invertIfNegative val="1"/>
          <c:cat>
            <c:strRef>
              <c:f>'RQ4 Limitations &amp; Challenges'!$C$6:$C$11</c:f>
              <c:strCache>
                <c:ptCount val="6"/>
                <c:pt idx="0">
                  <c:v>No user study</c:v>
                </c:pt>
                <c:pt idx="1">
                  <c:v>No evaluation</c:v>
                </c:pt>
                <c:pt idx="2">
                  <c:v>No ML evaluation</c:v>
                </c:pt>
                <c:pt idx="3">
                  <c:v>No MDE evaluation</c:v>
                </c:pt>
                <c:pt idx="4">
                  <c:v>Weak evaluation</c:v>
                </c:pt>
                <c:pt idx="5">
                  <c:v>No industrial evaluation</c:v>
                </c:pt>
              </c:strCache>
            </c:strRef>
          </c:cat>
          <c:val>
            <c:numRef>
              <c:f>'RQ4 Limitations &amp; Challenges'!$D$6:$D$11</c:f>
              <c:numCache>
                <c:formatCode>General</c:formatCode>
                <c:ptCount val="6"/>
                <c:pt idx="0">
                  <c:v>42</c:v>
                </c:pt>
                <c:pt idx="1">
                  <c:v>8</c:v>
                </c:pt>
                <c:pt idx="2">
                  <c:v>9</c:v>
                </c:pt>
                <c:pt idx="3">
                  <c:v>13</c:v>
                </c:pt>
                <c:pt idx="4">
                  <c:v>14</c:v>
                </c:pt>
                <c:pt idx="5">
                  <c:v>41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0-5D37-9F46-83FA-896AA7280A48}"/>
            </c:ext>
          </c:extLst>
        </c:ser>
        <c:dLbls>
          <c:showLegendKey val="0"/>
          <c:showVal val="0"/>
          <c:showCatName val="0"/>
          <c:showSerName val="0"/>
          <c:showPercent val="0"/>
          <c:showBubbleSize val="0"/>
        </c:dLbls>
        <c:gapWidth val="150"/>
        <c:axId val="1462100053"/>
        <c:axId val="982735172"/>
      </c:barChart>
      <c:catAx>
        <c:axId val="1462100053"/>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82735172"/>
        <c:crosses val="autoZero"/>
        <c:auto val="1"/>
        <c:lblAlgn val="ctr"/>
        <c:lblOffset val="100"/>
        <c:noMultiLvlLbl val="1"/>
      </c:catAx>
      <c:valAx>
        <c:axId val="9827351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62100053"/>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AU" b="0">
                <a:solidFill>
                  <a:srgbClr val="757575"/>
                </a:solidFill>
                <a:latin typeface="+mn-lt"/>
              </a:rPr>
              <a:t>Source Type</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9B5A-A743-B353-A79D82F29402}"/>
              </c:ext>
            </c:extLst>
          </c:dPt>
          <c:dPt>
            <c:idx val="1"/>
            <c:bubble3D val="0"/>
            <c:spPr>
              <a:solidFill>
                <a:srgbClr val="EA4335"/>
              </a:solidFill>
            </c:spPr>
            <c:extLst>
              <c:ext xmlns:c16="http://schemas.microsoft.com/office/drawing/2014/chart" uri="{C3380CC4-5D6E-409C-BE32-E72D297353CC}">
                <c16:uniqueId val="{00000003-9B5A-A743-B353-A79D82F29402}"/>
              </c:ext>
            </c:extLst>
          </c:dPt>
          <c:dPt>
            <c:idx val="2"/>
            <c:bubble3D val="0"/>
            <c:spPr>
              <a:solidFill>
                <a:srgbClr val="FBBC04"/>
              </a:solidFill>
            </c:spPr>
            <c:extLst>
              <c:ext xmlns:c16="http://schemas.microsoft.com/office/drawing/2014/chart" uri="{C3380CC4-5D6E-409C-BE32-E72D297353CC}">
                <c16:uniqueId val="{00000005-9B5A-A743-B353-A79D82F29402}"/>
              </c:ext>
            </c:extLst>
          </c:dPt>
          <c:dPt>
            <c:idx val="3"/>
            <c:bubble3D val="0"/>
            <c:spPr>
              <a:solidFill>
                <a:srgbClr val="34A853"/>
              </a:solidFill>
            </c:spPr>
            <c:extLst>
              <c:ext xmlns:c16="http://schemas.microsoft.com/office/drawing/2014/chart" uri="{C3380CC4-5D6E-409C-BE32-E72D297353CC}">
                <c16:uniqueId val="{00000007-9B5A-A743-B353-A79D82F29402}"/>
              </c:ext>
            </c:extLst>
          </c:dPt>
          <c:dPt>
            <c:idx val="4"/>
            <c:bubble3D val="0"/>
            <c:spPr>
              <a:solidFill>
                <a:srgbClr val="FF6D01"/>
              </a:solidFill>
            </c:spPr>
            <c:extLst>
              <c:ext xmlns:c16="http://schemas.microsoft.com/office/drawing/2014/chart" uri="{C3380CC4-5D6E-409C-BE32-E72D297353CC}">
                <c16:uniqueId val="{00000009-9B5A-A743-B353-A79D82F29402}"/>
              </c:ext>
            </c:extLst>
          </c:dPt>
          <c:dPt>
            <c:idx val="5"/>
            <c:bubble3D val="0"/>
            <c:spPr>
              <a:solidFill>
                <a:srgbClr val="46BDC6"/>
              </a:solidFill>
            </c:spPr>
            <c:extLst>
              <c:ext xmlns:c16="http://schemas.microsoft.com/office/drawing/2014/chart" uri="{C3380CC4-5D6E-409C-BE32-E72D297353CC}">
                <c16:uniqueId val="{0000000B-9B5A-A743-B353-A79D82F29402}"/>
              </c:ext>
            </c:extLst>
          </c:dPt>
          <c:dPt>
            <c:idx val="6"/>
            <c:bubble3D val="0"/>
            <c:spPr>
              <a:solidFill>
                <a:srgbClr val="7BAAF7"/>
              </a:solidFill>
            </c:spPr>
            <c:extLst>
              <c:ext xmlns:c16="http://schemas.microsoft.com/office/drawing/2014/chart" uri="{C3380CC4-5D6E-409C-BE32-E72D297353CC}">
                <c16:uniqueId val="{0000000D-9B5A-A743-B353-A79D82F29402}"/>
              </c:ext>
            </c:extLst>
          </c:dPt>
          <c:cat>
            <c:strRef>
              <c:f>'Publication Trends'!$H$23:$H$29</c:f>
              <c:strCache>
                <c:ptCount val="7"/>
                <c:pt idx="0">
                  <c:v>IEEE</c:v>
                </c:pt>
                <c:pt idx="1">
                  <c:v>ACM</c:v>
                </c:pt>
                <c:pt idx="2">
                  <c:v>Springer</c:v>
                </c:pt>
                <c:pt idx="3">
                  <c:v>Science Direct</c:v>
                </c:pt>
                <c:pt idx="4">
                  <c:v>Web of Science</c:v>
                </c:pt>
                <c:pt idx="5">
                  <c:v>Scopus</c:v>
                </c:pt>
                <c:pt idx="6">
                  <c:v>Snowballing</c:v>
                </c:pt>
              </c:strCache>
            </c:strRef>
          </c:cat>
          <c:val>
            <c:numRef>
              <c:f>'Publication Trends'!$I$23:$I$29</c:f>
              <c:numCache>
                <c:formatCode>General</c:formatCode>
                <c:ptCount val="7"/>
                <c:pt idx="0">
                  <c:v>11</c:v>
                </c:pt>
                <c:pt idx="1">
                  <c:v>6</c:v>
                </c:pt>
                <c:pt idx="2">
                  <c:v>5</c:v>
                </c:pt>
                <c:pt idx="3">
                  <c:v>2</c:v>
                </c:pt>
                <c:pt idx="4">
                  <c:v>1</c:v>
                </c:pt>
                <c:pt idx="5">
                  <c:v>7</c:v>
                </c:pt>
                <c:pt idx="6">
                  <c:v>14</c:v>
                </c:pt>
              </c:numCache>
            </c:numRef>
          </c:val>
          <c:extLst>
            <c:ext xmlns:c16="http://schemas.microsoft.com/office/drawing/2014/chart" uri="{C3380CC4-5D6E-409C-BE32-E72D297353CC}">
              <c16:uniqueId val="{0000000E-9B5A-A743-B353-A79D82F2940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lineChart>
        <c:grouping val="standard"/>
        <c:varyColors val="1"/>
        <c:ser>
          <c:idx val="0"/>
          <c:order val="0"/>
          <c:tx>
            <c:strRef>
              <c:f>'Publication Trends'!$J$33</c:f>
              <c:strCache>
                <c:ptCount val="1"/>
                <c:pt idx="0">
                  <c:v>Conference/Symposium</c:v>
                </c:pt>
              </c:strCache>
            </c:strRef>
          </c:tx>
          <c:spPr>
            <a:ln cmpd="sng">
              <a:solidFill>
                <a:schemeClr val="accent3"/>
              </a:solidFill>
              <a:prstDash val="dash"/>
            </a:ln>
          </c:spPr>
          <c:marker>
            <c:symbol val="circle"/>
            <c:size val="10"/>
            <c:spPr>
              <a:solidFill>
                <a:schemeClr val="accent3"/>
              </a:solidFill>
              <a:ln cmpd="sng">
                <a:solidFill>
                  <a:schemeClr val="accent3"/>
                </a:solidFill>
              </a:ln>
            </c:spPr>
          </c:marker>
          <c:dPt>
            <c:idx val="1"/>
            <c:marker>
              <c:symbol val="none"/>
            </c:marker>
            <c:bubble3D val="0"/>
            <c:extLst>
              <c:ext xmlns:c16="http://schemas.microsoft.com/office/drawing/2014/chart" uri="{C3380CC4-5D6E-409C-BE32-E72D297353CC}">
                <c16:uniqueId val="{00000000-878C-2042-AB6C-286E56A7DE47}"/>
              </c:ext>
            </c:extLst>
          </c:dPt>
          <c:cat>
            <c:numRef>
              <c:f>'Publication Trends'!$I$34:$I$49</c:f>
              <c:numCache>
                <c:formatCode>General</c:formatCode>
                <c:ptCount val="16"/>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numCache>
            </c:numRef>
          </c:cat>
          <c:val>
            <c:numRef>
              <c:f>'Publication Trends'!$J$34:$J$49</c:f>
              <c:numCache>
                <c:formatCode>General</c:formatCode>
                <c:ptCount val="16"/>
                <c:pt idx="0">
                  <c:v>3</c:v>
                </c:pt>
                <c:pt idx="1">
                  <c:v>6</c:v>
                </c:pt>
                <c:pt idx="2">
                  <c:v>3</c:v>
                </c:pt>
                <c:pt idx="3">
                  <c:v>1</c:v>
                </c:pt>
                <c:pt idx="4">
                  <c:v>2</c:v>
                </c:pt>
                <c:pt idx="5">
                  <c:v>2</c:v>
                </c:pt>
                <c:pt idx="6">
                  <c:v>1</c:v>
                </c:pt>
                <c:pt idx="7">
                  <c:v>1</c:v>
                </c:pt>
                <c:pt idx="8">
                  <c:v>0</c:v>
                </c:pt>
                <c:pt idx="9">
                  <c:v>0</c:v>
                </c:pt>
                <c:pt idx="10">
                  <c:v>0</c:v>
                </c:pt>
                <c:pt idx="11">
                  <c:v>1</c:v>
                </c:pt>
                <c:pt idx="12">
                  <c:v>0</c:v>
                </c:pt>
                <c:pt idx="13">
                  <c:v>0</c:v>
                </c:pt>
                <c:pt idx="14">
                  <c:v>0</c:v>
                </c:pt>
                <c:pt idx="15">
                  <c:v>0</c:v>
                </c:pt>
              </c:numCache>
            </c:numRef>
          </c:val>
          <c:smooth val="0"/>
          <c:extLst>
            <c:ext xmlns:c16="http://schemas.microsoft.com/office/drawing/2014/chart" uri="{C3380CC4-5D6E-409C-BE32-E72D297353CC}">
              <c16:uniqueId val="{00000001-878C-2042-AB6C-286E56A7DE47}"/>
            </c:ext>
          </c:extLst>
        </c:ser>
        <c:ser>
          <c:idx val="1"/>
          <c:order val="1"/>
          <c:tx>
            <c:strRef>
              <c:f>'Publication Trends'!$K$33</c:f>
              <c:strCache>
                <c:ptCount val="1"/>
                <c:pt idx="0">
                  <c:v>Journal</c:v>
                </c:pt>
              </c:strCache>
            </c:strRef>
          </c:tx>
          <c:spPr>
            <a:ln cmpd="sng">
              <a:solidFill>
                <a:schemeClr val="accent1"/>
              </a:solidFill>
              <a:prstDash val="lgDash"/>
            </a:ln>
          </c:spPr>
          <c:marker>
            <c:symbol val="circle"/>
            <c:size val="10"/>
            <c:spPr>
              <a:solidFill>
                <a:schemeClr val="accent1"/>
              </a:solidFill>
              <a:ln cmpd="sng">
                <a:solidFill>
                  <a:schemeClr val="accent1"/>
                </a:solidFill>
              </a:ln>
            </c:spPr>
          </c:marker>
          <c:dPt>
            <c:idx val="1"/>
            <c:marker>
              <c:symbol val="none"/>
            </c:marker>
            <c:bubble3D val="0"/>
            <c:extLst>
              <c:ext xmlns:c16="http://schemas.microsoft.com/office/drawing/2014/chart" uri="{C3380CC4-5D6E-409C-BE32-E72D297353CC}">
                <c16:uniqueId val="{00000002-878C-2042-AB6C-286E56A7DE47}"/>
              </c:ext>
            </c:extLst>
          </c:dPt>
          <c:cat>
            <c:numRef>
              <c:f>'Publication Trends'!$I$34:$I$49</c:f>
              <c:numCache>
                <c:formatCode>General</c:formatCode>
                <c:ptCount val="16"/>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numCache>
            </c:numRef>
          </c:cat>
          <c:val>
            <c:numRef>
              <c:f>'Publication Trends'!$K$34:$K$49</c:f>
              <c:numCache>
                <c:formatCode>General</c:formatCode>
                <c:ptCount val="16"/>
                <c:pt idx="0">
                  <c:v>0</c:v>
                </c:pt>
                <c:pt idx="1">
                  <c:v>1</c:v>
                </c:pt>
                <c:pt idx="2">
                  <c:v>3</c:v>
                </c:pt>
                <c:pt idx="3">
                  <c:v>3</c:v>
                </c:pt>
                <c:pt idx="4">
                  <c:v>7</c:v>
                </c:pt>
                <c:pt idx="5">
                  <c:v>1</c:v>
                </c:pt>
                <c:pt idx="6">
                  <c:v>0</c:v>
                </c:pt>
                <c:pt idx="7">
                  <c:v>0</c:v>
                </c:pt>
                <c:pt idx="8">
                  <c:v>1</c:v>
                </c:pt>
                <c:pt idx="9">
                  <c:v>0</c:v>
                </c:pt>
                <c:pt idx="10">
                  <c:v>0</c:v>
                </c:pt>
                <c:pt idx="11">
                  <c:v>0</c:v>
                </c:pt>
                <c:pt idx="12">
                  <c:v>1</c:v>
                </c:pt>
                <c:pt idx="13">
                  <c:v>0</c:v>
                </c:pt>
                <c:pt idx="14">
                  <c:v>0</c:v>
                </c:pt>
                <c:pt idx="15">
                  <c:v>0</c:v>
                </c:pt>
              </c:numCache>
            </c:numRef>
          </c:val>
          <c:smooth val="0"/>
          <c:extLst>
            <c:ext xmlns:c16="http://schemas.microsoft.com/office/drawing/2014/chart" uri="{C3380CC4-5D6E-409C-BE32-E72D297353CC}">
              <c16:uniqueId val="{00000003-878C-2042-AB6C-286E56A7DE47}"/>
            </c:ext>
          </c:extLst>
        </c:ser>
        <c:ser>
          <c:idx val="2"/>
          <c:order val="2"/>
          <c:tx>
            <c:strRef>
              <c:f>'Publication Trends'!$L$33</c:f>
              <c:strCache>
                <c:ptCount val="1"/>
                <c:pt idx="0">
                  <c:v>Workshop</c:v>
                </c:pt>
              </c:strCache>
            </c:strRef>
          </c:tx>
          <c:spPr>
            <a:ln cmpd="sng">
              <a:solidFill>
                <a:schemeClr val="accent2"/>
              </a:solidFill>
              <a:prstDash val="dashDot"/>
            </a:ln>
          </c:spPr>
          <c:marker>
            <c:symbol val="circle"/>
            <c:size val="10"/>
            <c:spPr>
              <a:solidFill>
                <a:schemeClr val="accent2"/>
              </a:solidFill>
              <a:ln cmpd="sng">
                <a:solidFill>
                  <a:schemeClr val="accent2"/>
                </a:solidFill>
              </a:ln>
            </c:spPr>
          </c:marker>
          <c:dPt>
            <c:idx val="1"/>
            <c:marker>
              <c:symbol val="none"/>
            </c:marker>
            <c:bubble3D val="0"/>
            <c:extLst>
              <c:ext xmlns:c16="http://schemas.microsoft.com/office/drawing/2014/chart" uri="{C3380CC4-5D6E-409C-BE32-E72D297353CC}">
                <c16:uniqueId val="{00000004-878C-2042-AB6C-286E56A7DE47}"/>
              </c:ext>
            </c:extLst>
          </c:dPt>
          <c:cat>
            <c:numRef>
              <c:f>'Publication Trends'!$I$34:$I$49</c:f>
              <c:numCache>
                <c:formatCode>General</c:formatCode>
                <c:ptCount val="16"/>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numCache>
            </c:numRef>
          </c:cat>
          <c:val>
            <c:numRef>
              <c:f>'Publication Trends'!$L$34:$L$49</c:f>
              <c:numCache>
                <c:formatCode>General</c:formatCode>
                <c:ptCount val="16"/>
                <c:pt idx="0">
                  <c:v>0</c:v>
                </c:pt>
                <c:pt idx="1">
                  <c:v>4</c:v>
                </c:pt>
                <c:pt idx="2">
                  <c:v>3</c:v>
                </c:pt>
                <c:pt idx="3">
                  <c:v>0</c:v>
                </c:pt>
                <c:pt idx="4">
                  <c:v>0</c:v>
                </c:pt>
                <c:pt idx="5">
                  <c:v>0</c:v>
                </c:pt>
                <c:pt idx="6">
                  <c:v>0</c:v>
                </c:pt>
                <c:pt idx="7">
                  <c:v>0</c:v>
                </c:pt>
                <c:pt idx="8">
                  <c:v>0</c:v>
                </c:pt>
                <c:pt idx="9">
                  <c:v>1</c:v>
                </c:pt>
                <c:pt idx="10">
                  <c:v>0</c:v>
                </c:pt>
                <c:pt idx="11">
                  <c:v>0</c:v>
                </c:pt>
                <c:pt idx="12">
                  <c:v>0</c:v>
                </c:pt>
                <c:pt idx="13">
                  <c:v>0</c:v>
                </c:pt>
                <c:pt idx="14">
                  <c:v>0</c:v>
                </c:pt>
                <c:pt idx="15">
                  <c:v>1</c:v>
                </c:pt>
              </c:numCache>
            </c:numRef>
          </c:val>
          <c:smooth val="0"/>
          <c:extLst>
            <c:ext xmlns:c16="http://schemas.microsoft.com/office/drawing/2014/chart" uri="{C3380CC4-5D6E-409C-BE32-E72D297353CC}">
              <c16:uniqueId val="{00000005-878C-2042-AB6C-286E56A7DE47}"/>
            </c:ext>
          </c:extLst>
        </c:ser>
        <c:ser>
          <c:idx val="3"/>
          <c:order val="3"/>
          <c:tx>
            <c:strRef>
              <c:f>'Publication Trends'!$M$33</c:f>
              <c:strCache>
                <c:ptCount val="1"/>
                <c:pt idx="0">
                  <c:v>Total</c:v>
                </c:pt>
              </c:strCache>
            </c:strRef>
          </c:tx>
          <c:spPr>
            <a:ln cmpd="sng">
              <a:solidFill>
                <a:schemeClr val="accent4"/>
              </a:solidFill>
            </a:ln>
          </c:spPr>
          <c:marker>
            <c:symbol val="circle"/>
            <c:size val="7"/>
            <c:spPr>
              <a:solidFill>
                <a:schemeClr val="accent4"/>
              </a:solidFill>
              <a:ln cmpd="sng">
                <a:solidFill>
                  <a:schemeClr val="accent4"/>
                </a:solidFill>
              </a:ln>
            </c:spPr>
          </c:marker>
          <c:dPt>
            <c:idx val="1"/>
            <c:marker>
              <c:symbol val="none"/>
            </c:marker>
            <c:bubble3D val="0"/>
            <c:extLst>
              <c:ext xmlns:c16="http://schemas.microsoft.com/office/drawing/2014/chart" uri="{C3380CC4-5D6E-409C-BE32-E72D297353CC}">
                <c16:uniqueId val="{00000006-878C-2042-AB6C-286E56A7DE47}"/>
              </c:ext>
            </c:extLst>
          </c:dPt>
          <c:dPt>
            <c:idx val="2"/>
            <c:marker>
              <c:symbol val="none"/>
            </c:marker>
            <c:bubble3D val="0"/>
            <c:extLst>
              <c:ext xmlns:c16="http://schemas.microsoft.com/office/drawing/2014/chart" uri="{C3380CC4-5D6E-409C-BE32-E72D297353CC}">
                <c16:uniqueId val="{00000007-878C-2042-AB6C-286E56A7DE47}"/>
              </c:ext>
            </c:extLst>
          </c:dPt>
          <c:cat>
            <c:numRef>
              <c:f>'Publication Trends'!$I$34:$I$49</c:f>
              <c:numCache>
                <c:formatCode>General</c:formatCode>
                <c:ptCount val="16"/>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numCache>
            </c:numRef>
          </c:cat>
          <c:val>
            <c:numRef>
              <c:f>'Publication Trends'!$M$34:$M$49</c:f>
              <c:numCache>
                <c:formatCode>General</c:formatCode>
                <c:ptCount val="16"/>
                <c:pt idx="0">
                  <c:v>3</c:v>
                </c:pt>
                <c:pt idx="1">
                  <c:v>11</c:v>
                </c:pt>
                <c:pt idx="2">
                  <c:v>9</c:v>
                </c:pt>
                <c:pt idx="3">
                  <c:v>4</c:v>
                </c:pt>
                <c:pt idx="4">
                  <c:v>9</c:v>
                </c:pt>
                <c:pt idx="5">
                  <c:v>3</c:v>
                </c:pt>
                <c:pt idx="6">
                  <c:v>1</c:v>
                </c:pt>
                <c:pt idx="7">
                  <c:v>1</c:v>
                </c:pt>
                <c:pt idx="8">
                  <c:v>1</c:v>
                </c:pt>
                <c:pt idx="9">
                  <c:v>1</c:v>
                </c:pt>
                <c:pt idx="10">
                  <c:v>0</c:v>
                </c:pt>
                <c:pt idx="11">
                  <c:v>1</c:v>
                </c:pt>
                <c:pt idx="12">
                  <c:v>1</c:v>
                </c:pt>
                <c:pt idx="13">
                  <c:v>0</c:v>
                </c:pt>
                <c:pt idx="14">
                  <c:v>0</c:v>
                </c:pt>
                <c:pt idx="15">
                  <c:v>1</c:v>
                </c:pt>
              </c:numCache>
            </c:numRef>
          </c:val>
          <c:smooth val="0"/>
          <c:extLst>
            <c:ext xmlns:c16="http://schemas.microsoft.com/office/drawing/2014/chart" uri="{C3380CC4-5D6E-409C-BE32-E72D297353CC}">
              <c16:uniqueId val="{00000008-878C-2042-AB6C-286E56A7DE47}"/>
            </c:ext>
          </c:extLst>
        </c:ser>
        <c:dLbls>
          <c:showLegendKey val="0"/>
          <c:showVal val="0"/>
          <c:showCatName val="0"/>
          <c:showSerName val="0"/>
          <c:showPercent val="0"/>
          <c:showBubbleSize val="0"/>
        </c:dLbls>
        <c:marker val="1"/>
        <c:smooth val="0"/>
        <c:axId val="2145475377"/>
        <c:axId val="2059279549"/>
      </c:lineChart>
      <c:catAx>
        <c:axId val="2145475377"/>
        <c:scaling>
          <c:orientation val="minMax"/>
        </c:scaling>
        <c:delete val="0"/>
        <c:axPos val="b"/>
        <c:title>
          <c:tx>
            <c:rich>
              <a:bodyPr/>
              <a:lstStyle/>
              <a:p>
                <a:pPr lvl="0">
                  <a:defRPr b="0">
                    <a:solidFill>
                      <a:srgbClr val="000000"/>
                    </a:solidFill>
                    <a:latin typeface="+mn-lt"/>
                  </a:defRPr>
                </a:pPr>
                <a:r>
                  <a:rPr lang="en-AU" b="0">
                    <a:solidFill>
                      <a:srgbClr val="000000"/>
                    </a:solidFill>
                    <a:latin typeface="+mn-lt"/>
                  </a:rPr>
                  <a:t>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59279549"/>
        <c:crosses val="autoZero"/>
        <c:auto val="1"/>
        <c:lblAlgn val="ctr"/>
        <c:lblOffset val="100"/>
        <c:noMultiLvlLbl val="1"/>
      </c:catAx>
      <c:valAx>
        <c:axId val="205927954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4547537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000000"/>
            </a:solidFill>
            <a:ln cmpd="sng">
              <a:solidFill>
                <a:srgbClr val="000000"/>
              </a:solidFill>
            </a:ln>
          </c:spPr>
          <c:invertIfNegative val="1"/>
          <c:dPt>
            <c:idx val="1"/>
            <c:invertIfNegative val="1"/>
            <c:bubble3D val="0"/>
            <c:extLst>
              <c:ext xmlns:c16="http://schemas.microsoft.com/office/drawing/2014/chart" uri="{C3380CC4-5D6E-409C-BE32-E72D297353CC}">
                <c16:uniqueId val="{00000000-CBDB-8242-A7FA-4E5E40A4C0C0}"/>
              </c:ext>
            </c:extLst>
          </c:dPt>
          <c:cat>
            <c:strRef>
              <c:f>'RQ2 MDE approaches for ML'!$B$6:$B$8</c:f>
              <c:strCache>
                <c:ptCount val="3"/>
                <c:pt idx="0">
                  <c:v>Graphical</c:v>
                </c:pt>
                <c:pt idx="1">
                  <c:v>Texutal</c:v>
                </c:pt>
                <c:pt idx="2">
                  <c:v>Graphical &amp; Textual </c:v>
                </c:pt>
              </c:strCache>
            </c:strRef>
          </c:cat>
          <c:val>
            <c:numRef>
              <c:f>'RQ2 MDE approaches for ML'!$C$6:$C$8</c:f>
              <c:numCache>
                <c:formatCode>General</c:formatCode>
                <c:ptCount val="3"/>
                <c:pt idx="0">
                  <c:v>23</c:v>
                </c:pt>
                <c:pt idx="1">
                  <c:v>21</c:v>
                </c:pt>
                <c:pt idx="2">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BDB-8242-A7FA-4E5E40A4C0C0}"/>
            </c:ext>
          </c:extLst>
        </c:ser>
        <c:dLbls>
          <c:showLegendKey val="0"/>
          <c:showVal val="0"/>
          <c:showCatName val="0"/>
          <c:showSerName val="0"/>
          <c:showPercent val="0"/>
          <c:showBubbleSize val="0"/>
        </c:dLbls>
        <c:gapWidth val="150"/>
        <c:axId val="388433599"/>
        <c:axId val="1622872817"/>
      </c:barChart>
      <c:catAx>
        <c:axId val="388433599"/>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22872817"/>
        <c:crosses val="autoZero"/>
        <c:auto val="1"/>
        <c:lblAlgn val="ctr"/>
        <c:lblOffset val="100"/>
        <c:noMultiLvlLbl val="1"/>
      </c:catAx>
      <c:valAx>
        <c:axId val="16228728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88433599"/>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000000"/>
            </a:solidFill>
            <a:ln cmpd="sng">
              <a:solidFill>
                <a:srgbClr val="000000"/>
              </a:solidFill>
            </a:ln>
          </c:spPr>
          <c:invertIfNegative val="1"/>
          <c:cat>
            <c:strRef>
              <c:f>'RQ2 MDE approaches for ML'!$G$6:$G$8</c:f>
              <c:strCache>
                <c:ptCount val="2"/>
                <c:pt idx="0">
                  <c:v>Fully Automated</c:v>
                </c:pt>
                <c:pt idx="1">
                  <c:v>Partially Automated</c:v>
                </c:pt>
              </c:strCache>
            </c:strRef>
          </c:cat>
          <c:val>
            <c:numRef>
              <c:f>'RQ2 MDE approaches for ML'!$H$6:$H$8</c:f>
              <c:numCache>
                <c:formatCode>General</c:formatCode>
                <c:ptCount val="3"/>
                <c:pt idx="0">
                  <c:v>38</c:v>
                </c:pt>
                <c:pt idx="1">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3FF-7643-960A-3794F7DED8CE}"/>
            </c:ext>
          </c:extLst>
        </c:ser>
        <c:dLbls>
          <c:showLegendKey val="0"/>
          <c:showVal val="0"/>
          <c:showCatName val="0"/>
          <c:showSerName val="0"/>
          <c:showPercent val="0"/>
          <c:showBubbleSize val="0"/>
        </c:dLbls>
        <c:gapWidth val="150"/>
        <c:axId val="1982676759"/>
        <c:axId val="1403014416"/>
      </c:barChart>
      <c:catAx>
        <c:axId val="1982676759"/>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03014416"/>
        <c:crosses val="autoZero"/>
        <c:auto val="1"/>
        <c:lblAlgn val="ctr"/>
        <c:lblOffset val="100"/>
        <c:noMultiLvlLbl val="1"/>
      </c:catAx>
      <c:valAx>
        <c:axId val="140301441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82676759"/>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000000"/>
            </a:solidFill>
            <a:ln cmpd="sng">
              <a:solidFill>
                <a:srgbClr val="000000"/>
              </a:solidFill>
            </a:ln>
          </c:spPr>
          <c:invertIfNegative val="1"/>
          <c:cat>
            <c:strRef>
              <c:f>'RQ2 MDE approaches for ML'!$Q$6:$Q$8</c:f>
              <c:strCache>
                <c:ptCount val="3"/>
                <c:pt idx="0">
                  <c:v>Full</c:v>
                </c:pt>
                <c:pt idx="1">
                  <c:v>Partial</c:v>
                </c:pt>
                <c:pt idx="2">
                  <c:v>N/A</c:v>
                </c:pt>
              </c:strCache>
            </c:strRef>
          </c:cat>
          <c:val>
            <c:numRef>
              <c:f>'RQ2 MDE approaches for ML'!$R$6:$R$8</c:f>
              <c:numCache>
                <c:formatCode>General</c:formatCode>
                <c:ptCount val="3"/>
                <c:pt idx="0">
                  <c:v>22</c:v>
                </c:pt>
                <c:pt idx="1">
                  <c:v>13</c:v>
                </c:pt>
                <c:pt idx="2">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D59-7545-9D4A-A57A20C07B6F}"/>
            </c:ext>
          </c:extLst>
        </c:ser>
        <c:dLbls>
          <c:showLegendKey val="0"/>
          <c:showVal val="0"/>
          <c:showCatName val="0"/>
          <c:showSerName val="0"/>
          <c:showPercent val="0"/>
          <c:showBubbleSize val="0"/>
        </c:dLbls>
        <c:gapWidth val="150"/>
        <c:axId val="326835389"/>
        <c:axId val="1470734837"/>
      </c:barChart>
      <c:catAx>
        <c:axId val="326835389"/>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70734837"/>
        <c:crosses val="autoZero"/>
        <c:auto val="1"/>
        <c:lblAlgn val="ctr"/>
        <c:lblOffset val="100"/>
        <c:noMultiLvlLbl val="1"/>
      </c:catAx>
      <c:valAx>
        <c:axId val="14707348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26835389"/>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000000"/>
            </a:solidFill>
            <a:ln cmpd="sng">
              <a:solidFill>
                <a:srgbClr val="000000"/>
              </a:solidFill>
            </a:ln>
          </c:spPr>
          <c:invertIfNegative val="1"/>
          <c:cat>
            <c:strRef>
              <c:f>'RQ2 MDE approaches for ML'!$L$6:$L$8</c:f>
              <c:strCache>
                <c:ptCount val="3"/>
                <c:pt idx="0">
                  <c:v>M2M &amp; M2T</c:v>
                </c:pt>
                <c:pt idx="1">
                  <c:v>M2T</c:v>
                </c:pt>
                <c:pt idx="2">
                  <c:v>M2M</c:v>
                </c:pt>
              </c:strCache>
            </c:strRef>
          </c:cat>
          <c:val>
            <c:numRef>
              <c:f>'RQ2 MDE approaches for ML'!$M$6:$M$8</c:f>
              <c:numCache>
                <c:formatCode>General</c:formatCode>
                <c:ptCount val="3"/>
                <c:pt idx="0">
                  <c:v>7</c:v>
                </c:pt>
                <c:pt idx="1">
                  <c:v>35</c:v>
                </c:pt>
                <c:pt idx="2">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CD3-F340-A35C-8AF740E9DAEB}"/>
            </c:ext>
          </c:extLst>
        </c:ser>
        <c:dLbls>
          <c:showLegendKey val="0"/>
          <c:showVal val="0"/>
          <c:showCatName val="0"/>
          <c:showSerName val="0"/>
          <c:showPercent val="0"/>
          <c:showBubbleSize val="0"/>
        </c:dLbls>
        <c:gapWidth val="150"/>
        <c:axId val="2130147886"/>
        <c:axId val="1041108246"/>
      </c:barChart>
      <c:catAx>
        <c:axId val="2130147886"/>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41108246"/>
        <c:crosses val="autoZero"/>
        <c:auto val="1"/>
        <c:lblAlgn val="ctr"/>
        <c:lblOffset val="100"/>
        <c:noMultiLvlLbl val="1"/>
      </c:catAx>
      <c:valAx>
        <c:axId val="10411082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0147886"/>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000000"/>
            </a:solidFill>
            <a:ln cmpd="sng">
              <a:solidFill>
                <a:srgbClr val="000000"/>
              </a:solidFill>
            </a:ln>
          </c:spPr>
          <c:invertIfNegative val="1"/>
          <c:cat>
            <c:strRef>
              <c:f>'RQ2 MDE approaches for ML'!$G$61:$G$62</c:f>
              <c:strCache>
                <c:ptCount val="2"/>
                <c:pt idx="0">
                  <c:v>Yes</c:v>
                </c:pt>
                <c:pt idx="1">
                  <c:v>No</c:v>
                </c:pt>
              </c:strCache>
            </c:strRef>
          </c:cat>
          <c:val>
            <c:numRef>
              <c:f>'RQ2 MDE approaches for ML'!$H$61:$H$62</c:f>
              <c:numCache>
                <c:formatCode>General</c:formatCode>
                <c:ptCount val="2"/>
                <c:pt idx="0">
                  <c:v>5</c:v>
                </c:pt>
                <c:pt idx="1">
                  <c:v>41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8A1-D04E-A737-6F1FA5859DE4}"/>
            </c:ext>
          </c:extLst>
        </c:ser>
        <c:dLbls>
          <c:showLegendKey val="0"/>
          <c:showVal val="0"/>
          <c:showCatName val="0"/>
          <c:showSerName val="0"/>
          <c:showPercent val="0"/>
          <c:showBubbleSize val="0"/>
        </c:dLbls>
        <c:gapWidth val="150"/>
        <c:axId val="990793503"/>
        <c:axId val="1990346088"/>
      </c:barChart>
      <c:catAx>
        <c:axId val="990793503"/>
        <c:scaling>
          <c:orientation val="maxMin"/>
        </c:scaling>
        <c:delete val="0"/>
        <c:axPos val="l"/>
        <c:title>
          <c:tx>
            <c:rich>
              <a:bodyPr/>
              <a:lstStyle/>
              <a:p>
                <a:pPr lvl="0">
                  <a:defRPr b="0">
                    <a:solidFill>
                      <a:srgbClr val="000000"/>
                    </a:solidFill>
                    <a:latin typeface="+mn-lt"/>
                  </a:defRPr>
                </a:pPr>
                <a:endParaRPr lang="en-AU"/>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90346088"/>
        <c:crosses val="autoZero"/>
        <c:auto val="1"/>
        <c:lblAlgn val="ctr"/>
        <c:lblOffset val="100"/>
        <c:noMultiLvlLbl val="1"/>
      </c:catAx>
      <c:valAx>
        <c:axId val="19903460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Number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90793503"/>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AU" b="0">
                <a:solidFill>
                  <a:srgbClr val="757575"/>
                </a:solidFill>
                <a:latin typeface="+mn-lt"/>
              </a:rPr>
              <a:t>Responsible AI Characteristics in studies (1 to N)</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6BB7-9A47-BB06-FB929FB35D93}"/>
              </c:ext>
            </c:extLst>
          </c:dPt>
          <c:dPt>
            <c:idx val="1"/>
            <c:bubble3D val="0"/>
            <c:spPr>
              <a:solidFill>
                <a:srgbClr val="EA4335"/>
              </a:solidFill>
            </c:spPr>
            <c:extLst>
              <c:ext xmlns:c16="http://schemas.microsoft.com/office/drawing/2014/chart" uri="{C3380CC4-5D6E-409C-BE32-E72D297353CC}">
                <c16:uniqueId val="{00000003-6BB7-9A47-BB06-FB929FB35D93}"/>
              </c:ext>
            </c:extLst>
          </c:dPt>
          <c:dPt>
            <c:idx val="2"/>
            <c:bubble3D val="0"/>
            <c:spPr>
              <a:solidFill>
                <a:srgbClr val="FBBC04"/>
              </a:solidFill>
            </c:spPr>
            <c:extLst>
              <c:ext xmlns:c16="http://schemas.microsoft.com/office/drawing/2014/chart" uri="{C3380CC4-5D6E-409C-BE32-E72D297353CC}">
                <c16:uniqueId val="{00000005-6BB7-9A47-BB06-FB929FB35D93}"/>
              </c:ext>
            </c:extLst>
          </c:dPt>
          <c:dPt>
            <c:idx val="3"/>
            <c:bubble3D val="0"/>
            <c:spPr>
              <a:solidFill>
                <a:srgbClr val="34A853"/>
              </a:solidFill>
            </c:spPr>
            <c:extLst>
              <c:ext xmlns:c16="http://schemas.microsoft.com/office/drawing/2014/chart" uri="{C3380CC4-5D6E-409C-BE32-E72D297353CC}">
                <c16:uniqueId val="{00000007-6BB7-9A47-BB06-FB929FB35D93}"/>
              </c:ext>
            </c:extLst>
          </c:dPt>
          <c:dPt>
            <c:idx val="4"/>
            <c:bubble3D val="0"/>
            <c:spPr>
              <a:solidFill>
                <a:srgbClr val="FF6D01"/>
              </a:solidFill>
            </c:spPr>
            <c:extLst>
              <c:ext xmlns:c16="http://schemas.microsoft.com/office/drawing/2014/chart" uri="{C3380CC4-5D6E-409C-BE32-E72D297353CC}">
                <c16:uniqueId val="{00000009-6BB7-9A47-BB06-FB929FB35D93}"/>
              </c:ext>
            </c:extLst>
          </c:dPt>
          <c:cat>
            <c:strRef>
              <c:f>'RQ2 MDE approaches for ML'!$B$61:$B$65</c:f>
              <c:strCache>
                <c:ptCount val="5"/>
                <c:pt idx="0">
                  <c:v>Fairness</c:v>
                </c:pt>
                <c:pt idx="1">
                  <c:v>Trust</c:v>
                </c:pt>
                <c:pt idx="2">
                  <c:v>Explainability</c:v>
                </c:pt>
                <c:pt idx="3">
                  <c:v>Other</c:v>
                </c:pt>
                <c:pt idx="4">
                  <c:v>None</c:v>
                </c:pt>
              </c:strCache>
            </c:strRef>
          </c:cat>
          <c:val>
            <c:numRef>
              <c:f>'RQ2 MDE approaches for ML'!$C$61:$C$65</c:f>
              <c:numCache>
                <c:formatCode>General</c:formatCode>
                <c:ptCount val="5"/>
                <c:pt idx="0">
                  <c:v>4</c:v>
                </c:pt>
                <c:pt idx="1">
                  <c:v>1</c:v>
                </c:pt>
                <c:pt idx="2">
                  <c:v>2</c:v>
                </c:pt>
                <c:pt idx="3">
                  <c:v>2</c:v>
                </c:pt>
                <c:pt idx="4">
                  <c:v>39</c:v>
                </c:pt>
              </c:numCache>
            </c:numRef>
          </c:val>
          <c:extLst>
            <c:ext xmlns:c16="http://schemas.microsoft.com/office/drawing/2014/chart" uri="{C3380CC4-5D6E-409C-BE32-E72D297353CC}">
              <c16:uniqueId val="{0000000A-6BB7-9A47-BB06-FB929FB35D9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jp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image" Target="../media/image14.png"/><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image" Target="../media/image1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image" Target="../media/image12.png"/><Relationship Id="rId5" Type="http://schemas.openxmlformats.org/officeDocument/2006/relationships/chart" Target="../charts/chart8.xml"/><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image" Target="../media/image18.jp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17.jpg"/><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oneCellAnchor>
    <xdr:from>
      <xdr:col>0</xdr:col>
      <xdr:colOff>76200</xdr:colOff>
      <xdr:row>21</xdr:row>
      <xdr:rowOff>152400</xdr:rowOff>
    </xdr:from>
    <xdr:ext cx="3409950" cy="1914525"/>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76200</xdr:colOff>
      <xdr:row>32</xdr:row>
      <xdr:rowOff>142875</xdr:rowOff>
    </xdr:from>
    <xdr:ext cx="3409950" cy="1914525"/>
    <xdr:graphicFrame macro="">
      <xdr:nvGraphicFramePr>
        <xdr:cNvPr id="3" name="Chart 2" title="Char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260350</xdr:colOff>
      <xdr:row>17</xdr:row>
      <xdr:rowOff>22225</xdr:rowOff>
    </xdr:from>
    <xdr:ext cx="3943350" cy="2419350"/>
    <xdr:graphicFrame macro="">
      <xdr:nvGraphicFramePr>
        <xdr:cNvPr id="4" name="Chart 3"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twoCellAnchor editAs="oneCell">
    <xdr:from>
      <xdr:col>0</xdr:col>
      <xdr:colOff>406400</xdr:colOff>
      <xdr:row>2</xdr:row>
      <xdr:rowOff>152400</xdr:rowOff>
    </xdr:from>
    <xdr:to>
      <xdr:col>3</xdr:col>
      <xdr:colOff>635000</xdr:colOff>
      <xdr:row>12</xdr:row>
      <xdr:rowOff>1490</xdr:rowOff>
    </xdr:to>
    <xdr:pic>
      <xdr:nvPicPr>
        <xdr:cNvPr id="5" name="Picture 4">
          <a:extLst>
            <a:ext uri="{FF2B5EF4-FFF2-40B4-BE49-F238E27FC236}">
              <a16:creationId xmlns:a16="http://schemas.microsoft.com/office/drawing/2014/main" id="{C163B77E-1DD0-D1FD-D44A-105576DA58A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6400" y="533400"/>
          <a:ext cx="3124200" cy="1754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927101</xdr:colOff>
      <xdr:row>2</xdr:row>
      <xdr:rowOff>139700</xdr:rowOff>
    </xdr:from>
    <xdr:to>
      <xdr:col>6</xdr:col>
      <xdr:colOff>190501</xdr:colOff>
      <xdr:row>24</xdr:row>
      <xdr:rowOff>177668</xdr:rowOff>
    </xdr:to>
    <xdr:pic>
      <xdr:nvPicPr>
        <xdr:cNvPr id="6" name="Picture 5">
          <a:extLst>
            <a:ext uri="{FF2B5EF4-FFF2-40B4-BE49-F238E27FC236}">
              <a16:creationId xmlns:a16="http://schemas.microsoft.com/office/drawing/2014/main" id="{EE177276-8DFB-D29D-86AB-019C33D81BA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2701" y="520700"/>
          <a:ext cx="2159000" cy="4228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736600</xdr:colOff>
      <xdr:row>1</xdr:row>
      <xdr:rowOff>127050</xdr:rowOff>
    </xdr:from>
    <xdr:to>
      <xdr:col>14</xdr:col>
      <xdr:colOff>219378</xdr:colOff>
      <xdr:row>16</xdr:row>
      <xdr:rowOff>12700</xdr:rowOff>
    </xdr:to>
    <xdr:pic>
      <xdr:nvPicPr>
        <xdr:cNvPr id="7" name="Picture 6">
          <a:extLst>
            <a:ext uri="{FF2B5EF4-FFF2-40B4-BE49-F238E27FC236}">
              <a16:creationId xmlns:a16="http://schemas.microsoft.com/office/drawing/2014/main" id="{C9EABAAC-485D-4B78-FA50-711C1C6CFCA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527800" y="317550"/>
          <a:ext cx="7204378" cy="274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495300</xdr:colOff>
      <xdr:row>48</xdr:row>
      <xdr:rowOff>228600</xdr:rowOff>
    </xdr:from>
    <xdr:ext cx="5114925" cy="5181600"/>
    <xdr:pic>
      <xdr:nvPicPr>
        <xdr:cNvPr id="2" name="image3.jp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2</xdr:col>
      <xdr:colOff>508918</xdr:colOff>
      <xdr:row>22</xdr:row>
      <xdr:rowOff>63500</xdr:rowOff>
    </xdr:from>
    <xdr:to>
      <xdr:col>5</xdr:col>
      <xdr:colOff>178718</xdr:colOff>
      <xdr:row>40</xdr:row>
      <xdr:rowOff>165100</xdr:rowOff>
    </xdr:to>
    <xdr:pic>
      <xdr:nvPicPr>
        <xdr:cNvPr id="3" name="Picture 2">
          <a:extLst>
            <a:ext uri="{FF2B5EF4-FFF2-40B4-BE49-F238E27FC236}">
              <a16:creationId xmlns:a16="http://schemas.microsoft.com/office/drawing/2014/main" id="{A280667B-91BB-B953-EB57-FDDD7CD309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0818" y="6489700"/>
          <a:ext cx="6096000" cy="421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419100</xdr:colOff>
      <xdr:row>16</xdr:row>
      <xdr:rowOff>15534</xdr:rowOff>
    </xdr:from>
    <xdr:to>
      <xdr:col>10</xdr:col>
      <xdr:colOff>1892300</xdr:colOff>
      <xdr:row>30</xdr:row>
      <xdr:rowOff>76199</xdr:rowOff>
    </xdr:to>
    <xdr:pic>
      <xdr:nvPicPr>
        <xdr:cNvPr id="6" name="Picture 5">
          <a:extLst>
            <a:ext uri="{FF2B5EF4-FFF2-40B4-BE49-F238E27FC236}">
              <a16:creationId xmlns:a16="http://schemas.microsoft.com/office/drawing/2014/main" id="{6C38289C-69B2-A71F-C477-26751F2D007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07600" y="4727234"/>
          <a:ext cx="5765800" cy="309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723900</xdr:colOff>
      <xdr:row>15</xdr:row>
      <xdr:rowOff>104542</xdr:rowOff>
    </xdr:from>
    <xdr:to>
      <xdr:col>16</xdr:col>
      <xdr:colOff>759638</xdr:colOff>
      <xdr:row>31</xdr:row>
      <xdr:rowOff>101600</xdr:rowOff>
    </xdr:to>
    <xdr:pic>
      <xdr:nvPicPr>
        <xdr:cNvPr id="7" name="Picture 6">
          <a:extLst>
            <a:ext uri="{FF2B5EF4-FFF2-40B4-BE49-F238E27FC236}">
              <a16:creationId xmlns:a16="http://schemas.microsoft.com/office/drawing/2014/main" id="{CCE4EB9E-ADDE-A1AB-6BE1-76C348BE8E5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8529300" y="4638442"/>
          <a:ext cx="5458638" cy="3375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20</xdr:row>
      <xdr:rowOff>0</xdr:rowOff>
    </xdr:from>
    <xdr:to>
      <xdr:col>20</xdr:col>
      <xdr:colOff>1689100</xdr:colOff>
      <xdr:row>35</xdr:row>
      <xdr:rowOff>566250</xdr:rowOff>
    </xdr:to>
    <xdr:pic>
      <xdr:nvPicPr>
        <xdr:cNvPr id="8" name="Picture 7">
          <a:extLst>
            <a:ext uri="{FF2B5EF4-FFF2-40B4-BE49-F238E27FC236}">
              <a16:creationId xmlns:a16="http://schemas.microsoft.com/office/drawing/2014/main" id="{C2AE0F1B-E8D2-5CEF-5265-D2219629BB7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463500" y="6096000"/>
          <a:ext cx="4191000" cy="305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330200</xdr:colOff>
      <xdr:row>63</xdr:row>
      <xdr:rowOff>50800</xdr:rowOff>
    </xdr:from>
    <xdr:to>
      <xdr:col>4</xdr:col>
      <xdr:colOff>2655121</xdr:colOff>
      <xdr:row>98</xdr:row>
      <xdr:rowOff>165100</xdr:rowOff>
    </xdr:to>
    <xdr:pic>
      <xdr:nvPicPr>
        <xdr:cNvPr id="9" name="Picture 8">
          <a:extLst>
            <a:ext uri="{FF2B5EF4-FFF2-40B4-BE49-F238E27FC236}">
              <a16:creationId xmlns:a16="http://schemas.microsoft.com/office/drawing/2014/main" id="{F30C8214-5215-35A9-BCCE-071618C5689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55700" y="16725900"/>
          <a:ext cx="5893621" cy="7277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561118</xdr:colOff>
      <xdr:row>56</xdr:row>
      <xdr:rowOff>114300</xdr:rowOff>
    </xdr:from>
    <xdr:to>
      <xdr:col>15</xdr:col>
      <xdr:colOff>1143000</xdr:colOff>
      <xdr:row>73</xdr:row>
      <xdr:rowOff>49664</xdr:rowOff>
    </xdr:to>
    <xdr:pic>
      <xdr:nvPicPr>
        <xdr:cNvPr id="10" name="Picture 9">
          <a:extLst>
            <a:ext uri="{FF2B5EF4-FFF2-40B4-BE49-F238E27FC236}">
              <a16:creationId xmlns:a16="http://schemas.microsoft.com/office/drawing/2014/main" id="{FF3EFDC1-DF57-5873-C4D4-A3647CA702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366518" y="15544800"/>
          <a:ext cx="4201382" cy="36056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685800</xdr:colOff>
      <xdr:row>8</xdr:row>
      <xdr:rowOff>114300</xdr:rowOff>
    </xdr:from>
    <xdr:ext cx="3019425" cy="1581150"/>
    <xdr:graphicFrame macro="">
      <xdr:nvGraphicFramePr>
        <xdr:cNvPr id="6" name="Chart 6" title="Chart">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57150</xdr:colOff>
      <xdr:row>8</xdr:row>
      <xdr:rowOff>114300</xdr:rowOff>
    </xdr:from>
    <xdr:ext cx="3019425" cy="1581150"/>
    <xdr:graphicFrame macro="">
      <xdr:nvGraphicFramePr>
        <xdr:cNvPr id="7" name="Chart 7" title="Chart">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16</xdr:col>
      <xdr:colOff>771525</xdr:colOff>
      <xdr:row>8</xdr:row>
      <xdr:rowOff>180975</xdr:rowOff>
    </xdr:from>
    <xdr:ext cx="3019425" cy="1400175"/>
    <xdr:graphicFrame macro="">
      <xdr:nvGraphicFramePr>
        <xdr:cNvPr id="8" name="Chart 8" title="Chart">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12</xdr:col>
      <xdr:colOff>257175</xdr:colOff>
      <xdr:row>8</xdr:row>
      <xdr:rowOff>114300</xdr:rowOff>
    </xdr:from>
    <xdr:ext cx="3019425" cy="1400175"/>
    <xdr:graphicFrame macro="">
      <xdr:nvGraphicFramePr>
        <xdr:cNvPr id="9" name="Chart 9" title="Chart">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257175</xdr:colOff>
      <xdr:row>62</xdr:row>
      <xdr:rowOff>285750</xdr:rowOff>
    </xdr:from>
    <xdr:ext cx="3019425" cy="1400175"/>
    <xdr:graphicFrame macro="">
      <xdr:nvGraphicFramePr>
        <xdr:cNvPr id="10" name="Chart 10" title="Chart">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xdr:col>
      <xdr:colOff>695325</xdr:colOff>
      <xdr:row>65</xdr:row>
      <xdr:rowOff>57150</xdr:rowOff>
    </xdr:from>
    <xdr:ext cx="4705350" cy="2914650"/>
    <xdr:graphicFrame macro="">
      <xdr:nvGraphicFramePr>
        <xdr:cNvPr id="11" name="Chart 11" title="Chart">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533400</xdr:colOff>
      <xdr:row>85</xdr:row>
      <xdr:rowOff>228600</xdr:rowOff>
    </xdr:from>
    <xdr:ext cx="4381500" cy="4181475"/>
    <xdr:graphicFrame macro="">
      <xdr:nvGraphicFramePr>
        <xdr:cNvPr id="12" name="Chart 12" title="Chart">
          <a:extLst>
            <a:ext uri="{FF2B5EF4-FFF2-40B4-BE49-F238E27FC236}">
              <a16:creationId xmlns:a16="http://schemas.microsoft.com/office/drawing/2014/main" id="{00000000-0008-0000-07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9</xdr:col>
      <xdr:colOff>1685925</xdr:colOff>
      <xdr:row>93</xdr:row>
      <xdr:rowOff>200025</xdr:rowOff>
    </xdr:from>
    <xdr:ext cx="3019425" cy="1581150"/>
    <xdr:graphicFrame macro="">
      <xdr:nvGraphicFramePr>
        <xdr:cNvPr id="13" name="Chart 13" title="Chart">
          <a:extLst>
            <a:ext uri="{FF2B5EF4-FFF2-40B4-BE49-F238E27FC236}">
              <a16:creationId xmlns:a16="http://schemas.microsoft.com/office/drawing/2014/main" id="{00000000-0008-0000-07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7</xdr:col>
      <xdr:colOff>257175</xdr:colOff>
      <xdr:row>69</xdr:row>
      <xdr:rowOff>133350</xdr:rowOff>
    </xdr:from>
    <xdr:ext cx="3019425" cy="1400175"/>
    <xdr:graphicFrame macro="">
      <xdr:nvGraphicFramePr>
        <xdr:cNvPr id="14" name="Chart 14" title="Chart">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twoCellAnchor editAs="oneCell">
    <xdr:from>
      <xdr:col>2</xdr:col>
      <xdr:colOff>163190</xdr:colOff>
      <xdr:row>28</xdr:row>
      <xdr:rowOff>165100</xdr:rowOff>
    </xdr:from>
    <xdr:to>
      <xdr:col>4</xdr:col>
      <xdr:colOff>1361721</xdr:colOff>
      <xdr:row>39</xdr:row>
      <xdr:rowOff>165100</xdr:rowOff>
    </xdr:to>
    <xdr:pic>
      <xdr:nvPicPr>
        <xdr:cNvPr id="2" name="Picture 1">
          <a:extLst>
            <a:ext uri="{FF2B5EF4-FFF2-40B4-BE49-F238E27FC236}">
              <a16:creationId xmlns:a16="http://schemas.microsoft.com/office/drawing/2014/main" id="{0619D39F-06FC-403D-AE08-0B1AD85F080D}"/>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328790" y="5905500"/>
          <a:ext cx="3382931"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1312914</xdr:colOff>
      <xdr:row>33</xdr:row>
      <xdr:rowOff>50800</xdr:rowOff>
    </xdr:from>
    <xdr:to>
      <xdr:col>9</xdr:col>
      <xdr:colOff>2768600</xdr:colOff>
      <xdr:row>48</xdr:row>
      <xdr:rowOff>38100</xdr:rowOff>
    </xdr:to>
    <xdr:pic>
      <xdr:nvPicPr>
        <xdr:cNvPr id="3" name="Picture 2">
          <a:extLst>
            <a:ext uri="{FF2B5EF4-FFF2-40B4-BE49-F238E27FC236}">
              <a16:creationId xmlns:a16="http://schemas.microsoft.com/office/drawing/2014/main" id="{8039BFF3-ACF6-AA45-6F3A-EF9AD79F3D2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793714" y="6743700"/>
          <a:ext cx="4592586" cy="284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622844</xdr:colOff>
      <xdr:row>27</xdr:row>
      <xdr:rowOff>177800</xdr:rowOff>
    </xdr:from>
    <xdr:to>
      <xdr:col>15</xdr:col>
      <xdr:colOff>1003300</xdr:colOff>
      <xdr:row>52</xdr:row>
      <xdr:rowOff>25400</xdr:rowOff>
    </xdr:to>
    <xdr:pic>
      <xdr:nvPicPr>
        <xdr:cNvPr id="4" name="Picture 3">
          <a:extLst>
            <a:ext uri="{FF2B5EF4-FFF2-40B4-BE49-F238E27FC236}">
              <a16:creationId xmlns:a16="http://schemas.microsoft.com/office/drawing/2014/main" id="{AF911097-37F1-E4FC-05F0-FF10729D3C63}"/>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895344" y="5727700"/>
          <a:ext cx="5422356" cy="461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728320</xdr:colOff>
      <xdr:row>60</xdr:row>
      <xdr:rowOff>50800</xdr:rowOff>
    </xdr:from>
    <xdr:to>
      <xdr:col>17</xdr:col>
      <xdr:colOff>312513</xdr:colOff>
      <xdr:row>69</xdr:row>
      <xdr:rowOff>50800</xdr:rowOff>
    </xdr:to>
    <xdr:pic>
      <xdr:nvPicPr>
        <xdr:cNvPr id="5" name="Picture 4">
          <a:extLst>
            <a:ext uri="{FF2B5EF4-FFF2-40B4-BE49-F238E27FC236}">
              <a16:creationId xmlns:a16="http://schemas.microsoft.com/office/drawing/2014/main" id="{556636D7-2865-EAD6-9AC3-EF8EDC2FCF74}"/>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2000820" y="12065000"/>
          <a:ext cx="6708893"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161744</xdr:colOff>
      <xdr:row>120</xdr:row>
      <xdr:rowOff>177800</xdr:rowOff>
    </xdr:from>
    <xdr:to>
      <xdr:col>11</xdr:col>
      <xdr:colOff>1231900</xdr:colOff>
      <xdr:row>127</xdr:row>
      <xdr:rowOff>302328</xdr:rowOff>
    </xdr:to>
    <xdr:pic>
      <xdr:nvPicPr>
        <xdr:cNvPr id="15" name="Picture 14">
          <a:extLst>
            <a:ext uri="{FF2B5EF4-FFF2-40B4-BE49-F238E27FC236}">
              <a16:creationId xmlns:a16="http://schemas.microsoft.com/office/drawing/2014/main" id="{E68EDEFD-55E8-9E9F-AECF-B0A5320697D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779444" y="32435800"/>
          <a:ext cx="5819956" cy="3363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19280</xdr:colOff>
      <xdr:row>139</xdr:row>
      <xdr:rowOff>228600</xdr:rowOff>
    </xdr:from>
    <xdr:to>
      <xdr:col>12</xdr:col>
      <xdr:colOff>88900</xdr:colOff>
      <xdr:row>152</xdr:row>
      <xdr:rowOff>25400</xdr:rowOff>
    </xdr:to>
    <xdr:pic>
      <xdr:nvPicPr>
        <xdr:cNvPr id="16" name="Picture 15">
          <a:extLst>
            <a:ext uri="{FF2B5EF4-FFF2-40B4-BE49-F238E27FC236}">
              <a16:creationId xmlns:a16="http://schemas.microsoft.com/office/drawing/2014/main" id="{018C1E88-574A-FD09-274F-23701BC7CA43}"/>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636980" y="39535100"/>
          <a:ext cx="6241820" cy="360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16</xdr:col>
      <xdr:colOff>1371600</xdr:colOff>
      <xdr:row>10</xdr:row>
      <xdr:rowOff>69850</xdr:rowOff>
    </xdr:from>
    <xdr:ext cx="5153025" cy="3533775"/>
    <xdr:graphicFrame macro="">
      <xdr:nvGraphicFramePr>
        <xdr:cNvPr id="15" name="Chart 15" title="Chart">
          <a:extLst>
            <a:ext uri="{FF2B5EF4-FFF2-40B4-BE49-F238E27FC236}">
              <a16:creationId xmlns:a16="http://schemas.microsoft.com/office/drawing/2014/main" id="{00000000-0008-0000-08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15</xdr:col>
      <xdr:colOff>381000</xdr:colOff>
      <xdr:row>74</xdr:row>
      <xdr:rowOff>9525</xdr:rowOff>
    </xdr:from>
    <xdr:ext cx="3019425" cy="1581150"/>
    <xdr:graphicFrame macro="">
      <xdr:nvGraphicFramePr>
        <xdr:cNvPr id="17" name="Chart 17" title="Chart">
          <a:extLst>
            <a:ext uri="{FF2B5EF4-FFF2-40B4-BE49-F238E27FC236}">
              <a16:creationId xmlns:a16="http://schemas.microsoft.com/office/drawing/2014/main" id="{00000000-0008-0000-08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962025</xdr:colOff>
      <xdr:row>12</xdr:row>
      <xdr:rowOff>133350</xdr:rowOff>
    </xdr:from>
    <xdr:ext cx="4162425" cy="2476500"/>
    <xdr:graphicFrame macro="">
      <xdr:nvGraphicFramePr>
        <xdr:cNvPr id="18" name="Chart 18" title="Chart">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323850</xdr:colOff>
      <xdr:row>12</xdr:row>
      <xdr:rowOff>133350</xdr:rowOff>
    </xdr:from>
    <xdr:ext cx="4162425" cy="2476500"/>
    <xdr:graphicFrame macro="">
      <xdr:nvGraphicFramePr>
        <xdr:cNvPr id="19" name="Chart 19" title="Chart">
          <a:extLst>
            <a:ext uri="{FF2B5EF4-FFF2-40B4-BE49-F238E27FC236}">
              <a16:creationId xmlns:a16="http://schemas.microsoft.com/office/drawing/2014/main" id="{00000000-0008-0000-08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11</xdr:col>
      <xdr:colOff>628650</xdr:colOff>
      <xdr:row>12</xdr:row>
      <xdr:rowOff>133350</xdr:rowOff>
    </xdr:from>
    <xdr:ext cx="4162425" cy="2476500"/>
    <xdr:graphicFrame macro="">
      <xdr:nvGraphicFramePr>
        <xdr:cNvPr id="20" name="Chart 20" title="Chart">
          <a:extLst>
            <a:ext uri="{FF2B5EF4-FFF2-40B4-BE49-F238E27FC236}">
              <a16:creationId xmlns:a16="http://schemas.microsoft.com/office/drawing/2014/main" id="{00000000-0008-0000-08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755650</xdr:colOff>
      <xdr:row>34</xdr:row>
      <xdr:rowOff>101600</xdr:rowOff>
    </xdr:from>
    <xdr:ext cx="4819650" cy="5143500"/>
    <xdr:pic>
      <xdr:nvPicPr>
        <xdr:cNvPr id="2" name="image2.jp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6" cstate="print"/>
        <a:stretch>
          <a:fillRect/>
        </a:stretch>
      </xdr:blipFill>
      <xdr:spPr>
        <a:xfrm>
          <a:off x="11804650" y="6578600"/>
          <a:ext cx="4819650" cy="5143500"/>
        </a:xfrm>
        <a:prstGeom prst="rect">
          <a:avLst/>
        </a:prstGeom>
        <a:noFill/>
      </xdr:spPr>
    </xdr:pic>
    <xdr:clientData fLocksWithSheet="0"/>
  </xdr:oneCellAnchor>
  <xdr:oneCellAnchor>
    <xdr:from>
      <xdr:col>16</xdr:col>
      <xdr:colOff>323850</xdr:colOff>
      <xdr:row>34</xdr:row>
      <xdr:rowOff>41275</xdr:rowOff>
    </xdr:from>
    <xdr:ext cx="4867275" cy="5191125"/>
    <xdr:pic>
      <xdr:nvPicPr>
        <xdr:cNvPr id="3" name="image1.jpg" title="Image">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7" cstate="print"/>
        <a:stretch>
          <a:fillRect/>
        </a:stretch>
      </xdr:blipFill>
      <xdr:spPr>
        <a:xfrm>
          <a:off x="28213050" y="6518275"/>
          <a:ext cx="4867275" cy="519112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1209675</xdr:colOff>
      <xdr:row>44</xdr:row>
      <xdr:rowOff>0</xdr:rowOff>
    </xdr:from>
    <xdr:ext cx="4162425" cy="2476500"/>
    <xdr:graphicFrame macro="">
      <xdr:nvGraphicFramePr>
        <xdr:cNvPr id="21" name="Chart 21" title="Chart">
          <a:extLst>
            <a:ext uri="{FF2B5EF4-FFF2-40B4-BE49-F238E27FC236}">
              <a16:creationId xmlns:a16="http://schemas.microsoft.com/office/drawing/2014/main" id="{00000000-0008-0000-09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hyperlink" Target="http://infer.ne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infer.ne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infer.net/"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47"/>
  <sheetViews>
    <sheetView workbookViewId="0"/>
  </sheetViews>
  <sheetFormatPr baseColWidth="10" defaultColWidth="12.6640625" defaultRowHeight="15.75" customHeight="1"/>
  <cols>
    <col min="2" max="2" width="96.83203125" customWidth="1"/>
    <col min="3" max="3" width="39.6640625" customWidth="1"/>
    <col min="5" max="5" width="46.1640625" customWidth="1"/>
  </cols>
  <sheetData>
    <row r="1" spans="1:8" ht="15.75" customHeight="1">
      <c r="A1" s="1" t="s">
        <v>0</v>
      </c>
      <c r="B1" s="1" t="s">
        <v>1</v>
      </c>
      <c r="C1" s="2" t="s">
        <v>2</v>
      </c>
      <c r="D1" s="2" t="s">
        <v>3</v>
      </c>
      <c r="E1" s="2" t="s">
        <v>4</v>
      </c>
      <c r="F1" s="2" t="s">
        <v>5</v>
      </c>
      <c r="G1" s="2" t="s">
        <v>6</v>
      </c>
      <c r="H1" s="2" t="s">
        <v>7</v>
      </c>
    </row>
    <row r="2" spans="1:8" ht="15.75" customHeight="1">
      <c r="A2" s="3" t="s">
        <v>8</v>
      </c>
      <c r="B2" s="3" t="s">
        <v>9</v>
      </c>
      <c r="C2" s="3" t="s">
        <v>10</v>
      </c>
      <c r="D2" s="3">
        <v>2022</v>
      </c>
      <c r="E2" s="3" t="s">
        <v>11</v>
      </c>
      <c r="F2" s="3" t="s">
        <v>12</v>
      </c>
      <c r="G2" s="3" t="s">
        <v>13</v>
      </c>
      <c r="H2" s="3">
        <v>0</v>
      </c>
    </row>
    <row r="3" spans="1:8" ht="15.75" customHeight="1">
      <c r="A3" s="3" t="s">
        <v>14</v>
      </c>
      <c r="B3" s="3" t="s">
        <v>15</v>
      </c>
      <c r="C3" s="3" t="s">
        <v>16</v>
      </c>
      <c r="D3" s="3">
        <v>2022</v>
      </c>
      <c r="E3" s="3" t="s">
        <v>11</v>
      </c>
      <c r="F3" s="3" t="s">
        <v>12</v>
      </c>
      <c r="G3" s="3" t="s">
        <v>13</v>
      </c>
      <c r="H3" s="3">
        <v>1</v>
      </c>
    </row>
    <row r="4" spans="1:8" ht="15.75" customHeight="1">
      <c r="A4" s="3" t="s">
        <v>17</v>
      </c>
      <c r="B4" s="3" t="s">
        <v>18</v>
      </c>
      <c r="C4" s="3" t="s">
        <v>19</v>
      </c>
      <c r="D4" s="3">
        <v>2021</v>
      </c>
      <c r="E4" s="3" t="s">
        <v>11</v>
      </c>
      <c r="F4" s="3" t="s">
        <v>12</v>
      </c>
      <c r="G4" s="3" t="s">
        <v>20</v>
      </c>
      <c r="H4" s="3">
        <v>4</v>
      </c>
    </row>
    <row r="5" spans="1:8" ht="15.75" customHeight="1">
      <c r="A5" s="3" t="s">
        <v>21</v>
      </c>
      <c r="B5" s="3" t="s">
        <v>22</v>
      </c>
      <c r="C5" s="3" t="s">
        <v>23</v>
      </c>
      <c r="D5" s="3">
        <v>2022</v>
      </c>
      <c r="E5" s="3" t="s">
        <v>24</v>
      </c>
      <c r="F5" s="3" t="s">
        <v>25</v>
      </c>
      <c r="G5" s="3" t="s">
        <v>13</v>
      </c>
      <c r="H5" s="3">
        <v>0</v>
      </c>
    </row>
    <row r="6" spans="1:8" ht="15.75" customHeight="1">
      <c r="A6" s="3" t="s">
        <v>26</v>
      </c>
      <c r="B6" s="3" t="s">
        <v>27</v>
      </c>
      <c r="C6" s="3" t="s">
        <v>28</v>
      </c>
      <c r="D6" s="3">
        <v>2019</v>
      </c>
      <c r="E6" s="3" t="s">
        <v>24</v>
      </c>
      <c r="F6" s="3" t="s">
        <v>25</v>
      </c>
      <c r="G6" s="3" t="s">
        <v>20</v>
      </c>
      <c r="H6" s="3">
        <v>10</v>
      </c>
    </row>
    <row r="7" spans="1:8" ht="15.75" customHeight="1">
      <c r="A7" s="3" t="s">
        <v>29</v>
      </c>
      <c r="B7" s="3" t="s">
        <v>30</v>
      </c>
      <c r="C7" s="3" t="s">
        <v>31</v>
      </c>
      <c r="D7" s="3">
        <v>2021</v>
      </c>
      <c r="E7" s="3" t="s">
        <v>24</v>
      </c>
      <c r="F7" s="3" t="s">
        <v>25</v>
      </c>
      <c r="G7" s="3" t="s">
        <v>20</v>
      </c>
      <c r="H7" s="3">
        <v>2</v>
      </c>
    </row>
    <row r="8" spans="1:8" ht="15.75" customHeight="1">
      <c r="A8" s="3" t="s">
        <v>32</v>
      </c>
      <c r="B8" s="3" t="s">
        <v>33</v>
      </c>
      <c r="C8" s="3" t="s">
        <v>34</v>
      </c>
      <c r="D8" s="3">
        <v>2020</v>
      </c>
      <c r="E8" s="3" t="s">
        <v>35</v>
      </c>
      <c r="F8" s="3" t="s">
        <v>12</v>
      </c>
      <c r="G8" s="3" t="s">
        <v>20</v>
      </c>
      <c r="H8" s="3">
        <v>1</v>
      </c>
    </row>
    <row r="9" spans="1:8" ht="15.75" customHeight="1">
      <c r="A9" s="3" t="s">
        <v>36</v>
      </c>
      <c r="B9" s="3" t="s">
        <v>37</v>
      </c>
      <c r="C9" s="3" t="s">
        <v>38</v>
      </c>
      <c r="D9" s="3">
        <v>2019</v>
      </c>
      <c r="E9" s="3" t="s">
        <v>11</v>
      </c>
      <c r="F9" s="3" t="s">
        <v>12</v>
      </c>
      <c r="G9" s="3" t="s">
        <v>20</v>
      </c>
      <c r="H9" s="3">
        <v>21</v>
      </c>
    </row>
    <row r="10" spans="1:8" ht="15.75" customHeight="1">
      <c r="A10" s="3" t="s">
        <v>39</v>
      </c>
      <c r="B10" s="3" t="s">
        <v>40</v>
      </c>
      <c r="C10" s="3" t="s">
        <v>41</v>
      </c>
      <c r="D10" s="3">
        <v>2022</v>
      </c>
      <c r="E10" s="3" t="s">
        <v>42</v>
      </c>
      <c r="F10" s="3" t="s">
        <v>12</v>
      </c>
      <c r="G10" s="3" t="s">
        <v>20</v>
      </c>
      <c r="H10" s="3">
        <v>2</v>
      </c>
    </row>
    <row r="11" spans="1:8" ht="15.75" customHeight="1">
      <c r="A11" s="3" t="s">
        <v>43</v>
      </c>
      <c r="B11" s="3" t="s">
        <v>44</v>
      </c>
      <c r="C11" s="3" t="s">
        <v>45</v>
      </c>
      <c r="D11" s="3">
        <v>2023</v>
      </c>
      <c r="E11" s="3" t="s">
        <v>46</v>
      </c>
      <c r="F11" s="3" t="s">
        <v>47</v>
      </c>
      <c r="G11" s="3" t="s">
        <v>48</v>
      </c>
      <c r="H11" s="3">
        <v>1</v>
      </c>
    </row>
    <row r="12" spans="1:8" ht="15.75" customHeight="1">
      <c r="A12" s="3" t="s">
        <v>49</v>
      </c>
      <c r="B12" s="3" t="s">
        <v>50</v>
      </c>
      <c r="C12" s="3" t="s">
        <v>51</v>
      </c>
      <c r="D12" s="3">
        <v>2021</v>
      </c>
      <c r="E12" s="3" t="s">
        <v>52</v>
      </c>
      <c r="F12" s="3" t="s">
        <v>12</v>
      </c>
      <c r="G12" s="3" t="s">
        <v>13</v>
      </c>
      <c r="H12" s="3">
        <v>10</v>
      </c>
    </row>
    <row r="13" spans="1:8" ht="15.75" customHeight="1">
      <c r="A13" s="3" t="s">
        <v>53</v>
      </c>
      <c r="B13" s="3" t="s">
        <v>54</v>
      </c>
      <c r="C13" s="3" t="s">
        <v>55</v>
      </c>
      <c r="D13" s="3">
        <v>2022</v>
      </c>
      <c r="E13" s="3" t="s">
        <v>24</v>
      </c>
      <c r="F13" s="3" t="s">
        <v>25</v>
      </c>
      <c r="G13" s="3" t="s">
        <v>13</v>
      </c>
      <c r="H13" s="3">
        <v>0</v>
      </c>
    </row>
    <row r="14" spans="1:8" ht="15.75" customHeight="1">
      <c r="A14" s="3" t="s">
        <v>56</v>
      </c>
      <c r="B14" s="3" t="s">
        <v>57</v>
      </c>
      <c r="C14" s="3" t="s">
        <v>58</v>
      </c>
      <c r="D14" s="3">
        <v>2019</v>
      </c>
      <c r="E14" s="3" t="s">
        <v>59</v>
      </c>
      <c r="F14" s="3" t="s">
        <v>12</v>
      </c>
      <c r="G14" s="3" t="s">
        <v>20</v>
      </c>
      <c r="H14" s="3">
        <v>13</v>
      </c>
    </row>
    <row r="15" spans="1:8" ht="15.75" customHeight="1">
      <c r="A15" s="3" t="s">
        <v>60</v>
      </c>
      <c r="B15" s="3" t="s">
        <v>61</v>
      </c>
      <c r="C15" s="3" t="s">
        <v>62</v>
      </c>
      <c r="D15" s="3">
        <v>2021</v>
      </c>
      <c r="E15" s="3" t="s">
        <v>63</v>
      </c>
      <c r="F15" s="3" t="s">
        <v>12</v>
      </c>
      <c r="G15" s="3" t="s">
        <v>64</v>
      </c>
      <c r="H15" s="3">
        <v>8</v>
      </c>
    </row>
    <row r="16" spans="1:8" ht="15.75" customHeight="1">
      <c r="A16" s="3" t="s">
        <v>65</v>
      </c>
      <c r="B16" s="3" t="s">
        <v>66</v>
      </c>
      <c r="C16" s="3" t="s">
        <v>67</v>
      </c>
      <c r="D16" s="3">
        <v>2020</v>
      </c>
      <c r="E16" s="3" t="s">
        <v>68</v>
      </c>
      <c r="F16" s="3" t="s">
        <v>47</v>
      </c>
      <c r="G16" s="3" t="s">
        <v>64</v>
      </c>
      <c r="H16" s="3">
        <v>3</v>
      </c>
    </row>
    <row r="17" spans="1:8" ht="15.75" customHeight="1">
      <c r="A17" s="3" t="s">
        <v>69</v>
      </c>
      <c r="B17" s="3" t="s">
        <v>70</v>
      </c>
      <c r="C17" s="3" t="s">
        <v>71</v>
      </c>
      <c r="D17" s="3">
        <v>2019</v>
      </c>
      <c r="E17" s="3" t="s">
        <v>24</v>
      </c>
      <c r="F17" s="3" t="s">
        <v>25</v>
      </c>
      <c r="G17" s="3" t="s">
        <v>20</v>
      </c>
      <c r="H17" s="3">
        <v>3</v>
      </c>
    </row>
    <row r="18" spans="1:8" ht="15.75" customHeight="1">
      <c r="A18" s="3" t="s">
        <v>72</v>
      </c>
      <c r="B18" s="3" t="s">
        <v>73</v>
      </c>
      <c r="C18" s="3" t="s">
        <v>74</v>
      </c>
      <c r="D18" s="3">
        <v>2019</v>
      </c>
      <c r="E18" s="3" t="s">
        <v>63</v>
      </c>
      <c r="F18" s="3" t="s">
        <v>12</v>
      </c>
      <c r="G18" s="3" t="s">
        <v>64</v>
      </c>
      <c r="H18" s="3">
        <v>4</v>
      </c>
    </row>
    <row r="19" spans="1:8" ht="15.75" customHeight="1">
      <c r="A19" s="3" t="s">
        <v>75</v>
      </c>
      <c r="B19" s="3" t="s">
        <v>76</v>
      </c>
      <c r="C19" s="3" t="s">
        <v>77</v>
      </c>
      <c r="D19" s="3">
        <v>2022</v>
      </c>
      <c r="E19" s="3" t="s">
        <v>78</v>
      </c>
      <c r="F19" s="3" t="s">
        <v>25</v>
      </c>
      <c r="G19" s="3" t="s">
        <v>64</v>
      </c>
      <c r="H19" s="3">
        <v>0</v>
      </c>
    </row>
    <row r="20" spans="1:8" ht="15.75" customHeight="1">
      <c r="A20" s="3" t="s">
        <v>79</v>
      </c>
      <c r="B20" s="3" t="s">
        <v>80</v>
      </c>
      <c r="C20" s="3" t="s">
        <v>81</v>
      </c>
      <c r="D20" s="3">
        <v>2020</v>
      </c>
      <c r="E20" s="3" t="s">
        <v>82</v>
      </c>
      <c r="F20" s="3" t="s">
        <v>12</v>
      </c>
      <c r="G20" s="3" t="s">
        <v>83</v>
      </c>
      <c r="H20" s="3">
        <v>3</v>
      </c>
    </row>
    <row r="21" spans="1:8" ht="15.75" customHeight="1">
      <c r="A21" s="3" t="s">
        <v>84</v>
      </c>
      <c r="B21" s="3" t="s">
        <v>85</v>
      </c>
      <c r="C21" s="3" t="s">
        <v>86</v>
      </c>
      <c r="D21" s="3">
        <v>2019</v>
      </c>
      <c r="E21" s="3" t="s">
        <v>24</v>
      </c>
      <c r="F21" s="3" t="s">
        <v>25</v>
      </c>
      <c r="G21" s="3" t="s">
        <v>20</v>
      </c>
      <c r="H21" s="3">
        <v>5</v>
      </c>
    </row>
    <row r="22" spans="1:8" ht="15.75" customHeight="1">
      <c r="A22" s="3" t="s">
        <v>87</v>
      </c>
      <c r="B22" s="3" t="s">
        <v>88</v>
      </c>
      <c r="C22" s="3" t="s">
        <v>89</v>
      </c>
      <c r="D22" s="3">
        <v>2014</v>
      </c>
      <c r="E22" s="3" t="s">
        <v>90</v>
      </c>
      <c r="F22" s="3" t="s">
        <v>12</v>
      </c>
      <c r="G22" s="3" t="s">
        <v>20</v>
      </c>
      <c r="H22" s="3">
        <v>41</v>
      </c>
    </row>
    <row r="23" spans="1:8" ht="15.75" customHeight="1">
      <c r="A23" s="3" t="s">
        <v>91</v>
      </c>
      <c r="B23" s="3" t="s">
        <v>92</v>
      </c>
      <c r="C23" s="3" t="s">
        <v>93</v>
      </c>
      <c r="D23" s="3">
        <v>2022</v>
      </c>
      <c r="E23" s="3" t="s">
        <v>94</v>
      </c>
      <c r="F23" s="3" t="s">
        <v>47</v>
      </c>
      <c r="G23" s="3" t="s">
        <v>83</v>
      </c>
      <c r="H23" s="3">
        <v>6</v>
      </c>
    </row>
    <row r="24" spans="1:8" ht="15.75" customHeight="1">
      <c r="A24" s="3" t="s">
        <v>95</v>
      </c>
      <c r="B24" s="3" t="s">
        <v>96</v>
      </c>
      <c r="C24" s="3" t="s">
        <v>97</v>
      </c>
      <c r="D24" s="3">
        <v>2017</v>
      </c>
      <c r="E24" s="3" t="s">
        <v>94</v>
      </c>
      <c r="F24" s="3" t="s">
        <v>47</v>
      </c>
      <c r="G24" s="3" t="s">
        <v>83</v>
      </c>
      <c r="H24" s="3">
        <v>40</v>
      </c>
    </row>
    <row r="25" spans="1:8" ht="15.75" customHeight="1">
      <c r="A25" s="3" t="s">
        <v>98</v>
      </c>
      <c r="B25" s="3" t="s">
        <v>99</v>
      </c>
      <c r="C25" s="3" t="s">
        <v>100</v>
      </c>
      <c r="D25" s="3">
        <v>2019</v>
      </c>
      <c r="E25" s="3" t="s">
        <v>101</v>
      </c>
      <c r="F25" s="3" t="s">
        <v>12</v>
      </c>
      <c r="G25" s="3" t="s">
        <v>20</v>
      </c>
      <c r="H25" s="3">
        <v>11</v>
      </c>
    </row>
    <row r="26" spans="1:8" ht="15.75" customHeight="1">
      <c r="A26" s="3" t="s">
        <v>102</v>
      </c>
      <c r="B26" s="3" t="s">
        <v>103</v>
      </c>
      <c r="C26" s="3" t="s">
        <v>104</v>
      </c>
      <c r="D26" s="3">
        <v>2022</v>
      </c>
      <c r="E26" s="3" t="s">
        <v>105</v>
      </c>
      <c r="F26" s="3" t="s">
        <v>47</v>
      </c>
      <c r="G26" s="3" t="s">
        <v>64</v>
      </c>
      <c r="H26" s="3">
        <v>12</v>
      </c>
    </row>
    <row r="27" spans="1:8" ht="15.75" customHeight="1">
      <c r="A27" s="3" t="s">
        <v>106</v>
      </c>
      <c r="B27" s="3" t="s">
        <v>107</v>
      </c>
      <c r="C27" s="3" t="s">
        <v>108</v>
      </c>
      <c r="D27" s="3">
        <v>2022</v>
      </c>
      <c r="E27" s="3" t="s">
        <v>109</v>
      </c>
      <c r="F27" s="3" t="s">
        <v>47</v>
      </c>
      <c r="G27" s="3" t="s">
        <v>64</v>
      </c>
      <c r="H27" s="3">
        <v>0</v>
      </c>
    </row>
    <row r="28" spans="1:8" ht="15.75" customHeight="1">
      <c r="A28" s="3" t="s">
        <v>110</v>
      </c>
      <c r="B28" s="3" t="s">
        <v>111</v>
      </c>
      <c r="C28" s="3" t="s">
        <v>112</v>
      </c>
      <c r="D28" s="3">
        <v>2023</v>
      </c>
      <c r="E28" s="3" t="s">
        <v>113</v>
      </c>
      <c r="F28" s="3" t="s">
        <v>47</v>
      </c>
      <c r="G28" s="3" t="s">
        <v>48</v>
      </c>
      <c r="H28" s="3">
        <v>0</v>
      </c>
    </row>
    <row r="29" spans="1:8" ht="15.75" customHeight="1">
      <c r="A29" s="3" t="s">
        <v>114</v>
      </c>
      <c r="B29" s="3" t="s">
        <v>115</v>
      </c>
      <c r="C29" s="3" t="s">
        <v>116</v>
      </c>
      <c r="D29" s="3">
        <v>2015</v>
      </c>
      <c r="E29" s="3" t="s">
        <v>117</v>
      </c>
      <c r="F29" s="3" t="s">
        <v>47</v>
      </c>
      <c r="G29" s="3" t="s">
        <v>118</v>
      </c>
      <c r="H29" s="3">
        <v>20</v>
      </c>
    </row>
    <row r="30" spans="1:8" ht="15.75" customHeight="1">
      <c r="A30" s="3" t="s">
        <v>119</v>
      </c>
      <c r="B30" s="4" t="s">
        <v>120</v>
      </c>
      <c r="C30" s="3" t="s">
        <v>121</v>
      </c>
      <c r="D30" s="3">
        <v>2012</v>
      </c>
      <c r="E30" s="3" t="s">
        <v>122</v>
      </c>
      <c r="F30" s="3" t="s">
        <v>47</v>
      </c>
      <c r="G30" s="3" t="s">
        <v>64</v>
      </c>
      <c r="H30" s="5" t="s">
        <v>123</v>
      </c>
    </row>
    <row r="31" spans="1:8" ht="15.75" customHeight="1">
      <c r="A31" s="3" t="s">
        <v>124</v>
      </c>
      <c r="B31" s="3" t="s">
        <v>125</v>
      </c>
      <c r="C31" s="3" t="s">
        <v>126</v>
      </c>
      <c r="D31" s="3">
        <v>2018</v>
      </c>
      <c r="E31" s="3" t="s">
        <v>127</v>
      </c>
      <c r="F31" s="3" t="s">
        <v>47</v>
      </c>
      <c r="G31" s="3" t="s">
        <v>128</v>
      </c>
      <c r="H31" s="3">
        <v>24</v>
      </c>
    </row>
    <row r="32" spans="1:8" ht="15.75" customHeight="1">
      <c r="A32" s="3" t="s">
        <v>129</v>
      </c>
      <c r="B32" s="3" t="s">
        <v>130</v>
      </c>
      <c r="C32" s="3" t="s">
        <v>131</v>
      </c>
      <c r="D32" s="3">
        <v>2021</v>
      </c>
      <c r="E32" s="3" t="s">
        <v>94</v>
      </c>
      <c r="F32" s="3" t="s">
        <v>47</v>
      </c>
      <c r="G32" s="3" t="s">
        <v>83</v>
      </c>
      <c r="H32" s="3">
        <v>2</v>
      </c>
    </row>
    <row r="33" spans="1:8" ht="15.75" customHeight="1">
      <c r="A33" s="3" t="s">
        <v>132</v>
      </c>
      <c r="B33" s="3" t="s">
        <v>133</v>
      </c>
      <c r="C33" s="3" t="s">
        <v>134</v>
      </c>
      <c r="D33" s="3">
        <v>2021</v>
      </c>
      <c r="E33" s="3" t="s">
        <v>135</v>
      </c>
      <c r="F33" s="3" t="s">
        <v>12</v>
      </c>
      <c r="G33" s="3" t="s">
        <v>83</v>
      </c>
      <c r="H33" s="3">
        <v>13</v>
      </c>
    </row>
    <row r="34" spans="1:8" ht="15.75" customHeight="1">
      <c r="A34" s="3" t="s">
        <v>136</v>
      </c>
      <c r="B34" s="3" t="s">
        <v>137</v>
      </c>
      <c r="C34" s="3" t="s">
        <v>138</v>
      </c>
      <c r="D34" s="3">
        <v>2021</v>
      </c>
      <c r="E34" s="3" t="s">
        <v>139</v>
      </c>
      <c r="F34" s="3" t="s">
        <v>47</v>
      </c>
      <c r="G34" s="3" t="s">
        <v>13</v>
      </c>
      <c r="H34" s="3">
        <v>2</v>
      </c>
    </row>
    <row r="35" spans="1:8" ht="15.75" customHeight="1">
      <c r="A35" s="3" t="s">
        <v>140</v>
      </c>
      <c r="B35" s="3" t="s">
        <v>141</v>
      </c>
      <c r="C35" s="3" t="s">
        <v>142</v>
      </c>
      <c r="D35" s="3">
        <v>2019</v>
      </c>
      <c r="E35" s="3" t="s">
        <v>143</v>
      </c>
      <c r="F35" s="3" t="s">
        <v>47</v>
      </c>
      <c r="G35" s="3" t="s">
        <v>128</v>
      </c>
      <c r="H35" s="3">
        <v>7</v>
      </c>
    </row>
    <row r="36" spans="1:8" ht="15.75" customHeight="1">
      <c r="A36" s="3" t="s">
        <v>144</v>
      </c>
      <c r="B36" s="4" t="s">
        <v>145</v>
      </c>
      <c r="C36" s="3" t="s">
        <v>146</v>
      </c>
      <c r="D36" s="3">
        <v>2020</v>
      </c>
      <c r="E36" s="3" t="s">
        <v>46</v>
      </c>
      <c r="F36" s="3" t="s">
        <v>47</v>
      </c>
      <c r="G36" s="3" t="s">
        <v>48</v>
      </c>
      <c r="H36" s="3">
        <v>16</v>
      </c>
    </row>
    <row r="37" spans="1:8" ht="15.75" customHeight="1">
      <c r="A37" s="3" t="s">
        <v>147</v>
      </c>
      <c r="B37" s="4" t="s">
        <v>148</v>
      </c>
      <c r="C37" s="3" t="s">
        <v>149</v>
      </c>
      <c r="D37" s="3">
        <v>2016</v>
      </c>
      <c r="E37" s="3" t="s">
        <v>150</v>
      </c>
      <c r="F37" s="3" t="s">
        <v>12</v>
      </c>
      <c r="G37" s="3" t="s">
        <v>48</v>
      </c>
      <c r="H37" s="3">
        <v>4</v>
      </c>
    </row>
    <row r="38" spans="1:8" ht="15.75" customHeight="1">
      <c r="A38" s="3" t="s">
        <v>151</v>
      </c>
      <c r="B38" s="4" t="s">
        <v>152</v>
      </c>
      <c r="C38" s="3" t="s">
        <v>153</v>
      </c>
      <c r="D38" s="3">
        <v>2022</v>
      </c>
      <c r="E38" s="3" t="s">
        <v>154</v>
      </c>
      <c r="F38" s="3" t="s">
        <v>12</v>
      </c>
      <c r="G38" s="3" t="s">
        <v>48</v>
      </c>
      <c r="H38" s="3">
        <v>1</v>
      </c>
    </row>
    <row r="39" spans="1:8" ht="15.75" customHeight="1">
      <c r="A39" s="3" t="s">
        <v>155</v>
      </c>
      <c r="B39" s="4" t="s">
        <v>156</v>
      </c>
      <c r="C39" s="3" t="s">
        <v>157</v>
      </c>
      <c r="D39" s="3">
        <v>2022</v>
      </c>
      <c r="E39" s="3" t="s">
        <v>158</v>
      </c>
      <c r="F39" s="3" t="s">
        <v>12</v>
      </c>
      <c r="G39" s="3" t="s">
        <v>48</v>
      </c>
      <c r="H39" s="3">
        <v>5</v>
      </c>
    </row>
    <row r="40" spans="1:8" ht="15.75" customHeight="1">
      <c r="A40" s="3" t="s">
        <v>159</v>
      </c>
      <c r="B40" s="4" t="s">
        <v>160</v>
      </c>
      <c r="C40" s="3" t="s">
        <v>161</v>
      </c>
      <c r="D40" s="3">
        <v>2023</v>
      </c>
      <c r="E40" s="3" t="s">
        <v>162</v>
      </c>
      <c r="F40" s="3" t="s">
        <v>47</v>
      </c>
      <c r="G40" s="3" t="s">
        <v>48</v>
      </c>
      <c r="H40" s="3">
        <v>0</v>
      </c>
    </row>
    <row r="41" spans="1:8" ht="15.75" customHeight="1">
      <c r="A41" s="3" t="s">
        <v>163</v>
      </c>
      <c r="B41" s="4" t="s">
        <v>164</v>
      </c>
      <c r="C41" s="3" t="s">
        <v>165</v>
      </c>
      <c r="D41" s="3">
        <v>2019</v>
      </c>
      <c r="E41" s="3" t="s">
        <v>166</v>
      </c>
      <c r="F41" s="3" t="s">
        <v>167</v>
      </c>
      <c r="G41" s="3" t="s">
        <v>48</v>
      </c>
      <c r="H41" s="3">
        <v>1</v>
      </c>
    </row>
    <row r="42" spans="1:8" ht="15.75" customHeight="1">
      <c r="A42" s="3" t="s">
        <v>168</v>
      </c>
      <c r="B42" s="4" t="s">
        <v>169</v>
      </c>
      <c r="C42" s="3" t="s">
        <v>170</v>
      </c>
      <c r="D42" s="3">
        <v>2008</v>
      </c>
      <c r="E42" s="3" t="s">
        <v>171</v>
      </c>
      <c r="F42" s="3" t="s">
        <v>12</v>
      </c>
      <c r="G42" s="3" t="s">
        <v>48</v>
      </c>
      <c r="H42" s="3">
        <v>298</v>
      </c>
    </row>
    <row r="43" spans="1:8" ht="15.75" customHeight="1">
      <c r="A43" s="3" t="s">
        <v>172</v>
      </c>
      <c r="B43" s="4" t="s">
        <v>173</v>
      </c>
      <c r="C43" s="3" t="s">
        <v>174</v>
      </c>
      <c r="D43" s="3">
        <v>2018</v>
      </c>
      <c r="E43" s="3" t="s">
        <v>175</v>
      </c>
      <c r="F43" s="3" t="s">
        <v>47</v>
      </c>
      <c r="G43" s="3" t="s">
        <v>48</v>
      </c>
      <c r="H43" s="3">
        <v>19</v>
      </c>
    </row>
    <row r="44" spans="1:8" ht="15.75" customHeight="1">
      <c r="A44" s="3" t="s">
        <v>176</v>
      </c>
      <c r="B44" s="4" t="s">
        <v>177</v>
      </c>
      <c r="C44" s="3" t="s">
        <v>178</v>
      </c>
      <c r="D44" s="3">
        <v>2011</v>
      </c>
      <c r="E44" s="3" t="s">
        <v>179</v>
      </c>
      <c r="F44" s="3" t="s">
        <v>25</v>
      </c>
      <c r="G44" s="3" t="s">
        <v>48</v>
      </c>
      <c r="H44" s="3">
        <v>54</v>
      </c>
    </row>
    <row r="45" spans="1:8" ht="15.75" customHeight="1">
      <c r="A45" s="3" t="s">
        <v>180</v>
      </c>
      <c r="B45" s="4" t="s">
        <v>181</v>
      </c>
      <c r="C45" s="3" t="s">
        <v>182</v>
      </c>
      <c r="D45" s="3">
        <v>2021</v>
      </c>
      <c r="E45" s="3" t="s">
        <v>183</v>
      </c>
      <c r="F45" s="3" t="s">
        <v>167</v>
      </c>
      <c r="G45" s="3" t="s">
        <v>48</v>
      </c>
      <c r="H45" s="3">
        <v>5</v>
      </c>
    </row>
    <row r="46" spans="1:8" ht="15.75" customHeight="1">
      <c r="A46" s="3" t="s">
        <v>184</v>
      </c>
      <c r="B46" s="4" t="s">
        <v>185</v>
      </c>
      <c r="C46" s="3" t="s">
        <v>186</v>
      </c>
      <c r="D46" s="3">
        <v>2021</v>
      </c>
      <c r="E46" s="3" t="s">
        <v>187</v>
      </c>
      <c r="F46" s="3" t="s">
        <v>47</v>
      </c>
      <c r="G46" s="3" t="s">
        <v>48</v>
      </c>
      <c r="H46" s="3">
        <v>11</v>
      </c>
    </row>
    <row r="47" spans="1:8" ht="15.75" customHeight="1">
      <c r="A47" s="3" t="s">
        <v>188</v>
      </c>
      <c r="B47" s="4" t="s">
        <v>189</v>
      </c>
      <c r="C47" s="3" t="s">
        <v>190</v>
      </c>
      <c r="D47" s="3">
        <v>2018</v>
      </c>
      <c r="E47" s="3" t="s">
        <v>191</v>
      </c>
      <c r="F47" s="3" t="s">
        <v>25</v>
      </c>
      <c r="G47" s="3" t="s">
        <v>48</v>
      </c>
      <c r="H47" s="3">
        <v>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R266"/>
  <sheetViews>
    <sheetView tabSelected="1" workbookViewId="0"/>
  </sheetViews>
  <sheetFormatPr baseColWidth="10" defaultColWidth="12.6640625" defaultRowHeight="15.75" customHeight="1"/>
  <cols>
    <col min="1" max="2" width="20" customWidth="1"/>
    <col min="3" max="3" width="30" customWidth="1"/>
    <col min="4" max="4" width="8" customWidth="1"/>
    <col min="5" max="5" width="31.6640625" customWidth="1"/>
    <col min="6" max="8" width="20.1640625" customWidth="1"/>
    <col min="9" max="9" width="7.83203125" customWidth="1"/>
    <col min="10" max="10" width="40.5" customWidth="1"/>
    <col min="11" max="11" width="30.1640625" customWidth="1"/>
    <col min="12" max="12" width="19.33203125" customWidth="1"/>
    <col min="13" max="13" width="9.83203125" customWidth="1"/>
    <col min="14" max="14" width="8.1640625" customWidth="1"/>
    <col min="15" max="15" width="32.33203125" customWidth="1"/>
    <col min="16" max="16" width="10.6640625" customWidth="1"/>
    <col min="17" max="17" width="24.6640625" customWidth="1"/>
    <col min="18" max="18" width="16.1640625" customWidth="1"/>
  </cols>
  <sheetData>
    <row r="1" spans="1:18" ht="13">
      <c r="E1" s="211"/>
      <c r="F1" s="211"/>
      <c r="G1" s="211"/>
      <c r="H1" s="211"/>
      <c r="I1" s="211"/>
      <c r="J1" s="211"/>
      <c r="K1" s="211"/>
      <c r="L1" s="211"/>
      <c r="M1" s="211"/>
      <c r="N1" s="212"/>
      <c r="O1" s="212"/>
      <c r="P1" s="212"/>
      <c r="Q1" s="212"/>
      <c r="R1" s="212"/>
    </row>
    <row r="2" spans="1:18" ht="42">
      <c r="A2" s="213"/>
      <c r="B2" s="213"/>
      <c r="C2" s="214" t="s">
        <v>2182</v>
      </c>
      <c r="D2" s="111">
        <f>COUNTIF(CleanedData!X173:X218,"none")</f>
        <v>19</v>
      </c>
      <c r="E2" s="114" t="str">
        <f ca="1">IFERROR(__xludf.DUMMYFUNCTION("JOIN ("", "", FILTER(CleanedData!W173:W218, CleanedData!X173:X218=""none""))"),"P3, P5, P7, P8, P11, P16, P18, P26, P27, P29, P31, P33, P37, P40, P41, P42, P43, P44, P46")</f>
        <v>P3, P5, P7, P8, P11, P16, P18, P26, P27, P29, P31, P33, P37, P40, P41, P42, P43, P44, P46</v>
      </c>
      <c r="F2" s="211"/>
      <c r="G2" s="211"/>
      <c r="H2" s="211"/>
      <c r="I2" s="211"/>
      <c r="J2" s="213"/>
      <c r="N2" s="215"/>
      <c r="O2" s="215"/>
      <c r="P2" s="216"/>
      <c r="Q2" s="215"/>
      <c r="R2" s="216"/>
    </row>
    <row r="3" spans="1:18" ht="14">
      <c r="A3" s="217"/>
      <c r="B3" s="217"/>
      <c r="C3" s="214" t="s">
        <v>2183</v>
      </c>
      <c r="D3" s="111">
        <f>COUNTIF(CleanedData!Z174:Z219,"none")</f>
        <v>7</v>
      </c>
      <c r="E3" s="114" t="str">
        <f ca="1">IFERROR(__xludf.DUMMYFUNCTION("JOIN ("", "", FILTER(CleanedData!W174:W219, CleanedData!Z174:Z219=""none""))"),"P5, P11, P13, P26, P29, P41, P44")</f>
        <v>P5, P11, P13, P26, P29, P41, P44</v>
      </c>
      <c r="F3" s="211"/>
      <c r="G3" s="211"/>
      <c r="H3" s="211"/>
      <c r="I3" s="211"/>
      <c r="J3" s="211"/>
      <c r="K3" s="211"/>
      <c r="L3" s="211"/>
      <c r="M3" s="211"/>
      <c r="N3" s="215"/>
      <c r="O3" s="215"/>
      <c r="P3" s="215"/>
      <c r="Q3" s="215"/>
      <c r="R3" s="216"/>
    </row>
    <row r="4" spans="1:18" ht="14">
      <c r="A4" s="217"/>
      <c r="B4" s="217"/>
      <c r="C4" s="217"/>
      <c r="D4" s="217"/>
      <c r="E4" s="217"/>
      <c r="F4" s="211"/>
      <c r="G4" s="211"/>
      <c r="H4" s="211"/>
      <c r="I4" s="211"/>
      <c r="J4" s="211"/>
      <c r="K4" s="211"/>
      <c r="L4" s="211"/>
      <c r="M4" s="211"/>
      <c r="N4" s="120"/>
      <c r="O4" s="120"/>
      <c r="P4" s="120"/>
      <c r="Q4" s="215"/>
      <c r="R4" s="216"/>
    </row>
    <row r="5" spans="1:18" ht="28">
      <c r="A5" s="217"/>
      <c r="B5" s="182" t="s">
        <v>2184</v>
      </c>
      <c r="C5" s="182" t="s">
        <v>2185</v>
      </c>
      <c r="D5" s="182" t="s">
        <v>1841</v>
      </c>
      <c r="E5" s="182" t="s">
        <v>2186</v>
      </c>
      <c r="F5" s="218" t="s">
        <v>2187</v>
      </c>
      <c r="G5" s="219" t="s">
        <v>2188</v>
      </c>
      <c r="H5" s="211"/>
      <c r="I5" s="220" t="s">
        <v>0</v>
      </c>
      <c r="J5" s="221" t="s">
        <v>1612</v>
      </c>
      <c r="K5" s="220" t="s">
        <v>1613</v>
      </c>
      <c r="L5" s="222" t="s">
        <v>1614</v>
      </c>
      <c r="M5" s="211"/>
      <c r="N5" s="120"/>
      <c r="O5" s="120"/>
      <c r="P5" s="120"/>
      <c r="Q5" s="215"/>
      <c r="R5" s="216"/>
    </row>
    <row r="6" spans="1:18" ht="42">
      <c r="A6" s="213"/>
      <c r="B6" s="329" t="s">
        <v>2189</v>
      </c>
      <c r="C6" s="70" t="s">
        <v>2190</v>
      </c>
      <c r="D6" s="70">
        <v>42</v>
      </c>
      <c r="E6" s="114" t="s">
        <v>2191</v>
      </c>
      <c r="F6" s="223" t="s">
        <v>2192</v>
      </c>
      <c r="G6" s="224" t="s">
        <v>2193</v>
      </c>
      <c r="H6" s="211"/>
      <c r="I6" s="225" t="s">
        <v>8</v>
      </c>
      <c r="J6" s="225" t="s">
        <v>1615</v>
      </c>
      <c r="K6" s="225"/>
      <c r="L6" s="226"/>
      <c r="M6" s="227"/>
      <c r="N6" s="228"/>
      <c r="O6" s="228"/>
      <c r="P6" s="228"/>
      <c r="Q6" s="215"/>
      <c r="R6" s="215"/>
    </row>
    <row r="7" spans="1:18" ht="28">
      <c r="A7" s="213"/>
      <c r="B7" s="258"/>
      <c r="C7" s="70" t="s">
        <v>521</v>
      </c>
      <c r="D7" s="70">
        <f>COUNTIF(J6:J198,"No evaluation")</f>
        <v>8</v>
      </c>
      <c r="E7" s="114" t="str">
        <f ca="1">IFERROR(__xludf.DUMMYFUNCTION("JOIN ("", "", FILTER(I6:I198, J6:J198=""no evaluation""))"),"P5, P6, P8, P18, P21, P26, P32, P43")</f>
        <v>P5, P6, P8, P18, P21, P26, P32, P43</v>
      </c>
      <c r="F7" s="223" t="s">
        <v>2194</v>
      </c>
      <c r="G7" s="224" t="s">
        <v>2195</v>
      </c>
      <c r="H7" s="211"/>
      <c r="I7" s="225" t="s">
        <v>8</v>
      </c>
      <c r="J7" s="225" t="s">
        <v>1619</v>
      </c>
      <c r="K7" s="225" t="s">
        <v>1620</v>
      </c>
      <c r="L7" s="226" t="s">
        <v>1621</v>
      </c>
      <c r="M7" s="229"/>
      <c r="N7" s="228"/>
      <c r="O7" s="228"/>
      <c r="P7" s="228"/>
      <c r="Q7" s="215"/>
      <c r="R7" s="216"/>
    </row>
    <row r="8" spans="1:18" ht="42">
      <c r="A8" s="213"/>
      <c r="B8" s="258"/>
      <c r="C8" s="70" t="s">
        <v>2196</v>
      </c>
      <c r="D8" s="70">
        <v>9</v>
      </c>
      <c r="E8" s="70" t="s">
        <v>2197</v>
      </c>
      <c r="F8" s="223"/>
      <c r="G8" s="224" t="s">
        <v>2197</v>
      </c>
      <c r="H8" s="211"/>
      <c r="I8" s="225" t="s">
        <v>8</v>
      </c>
      <c r="J8" s="225" t="s">
        <v>1627</v>
      </c>
      <c r="K8" s="230" t="s">
        <v>1628</v>
      </c>
      <c r="L8" s="226" t="s">
        <v>1629</v>
      </c>
      <c r="M8" s="229"/>
      <c r="N8" s="228"/>
      <c r="O8" s="228"/>
      <c r="P8" s="228"/>
      <c r="Q8" s="215"/>
      <c r="R8" s="216"/>
    </row>
    <row r="9" spans="1:18" ht="42">
      <c r="A9" s="213"/>
      <c r="B9" s="258"/>
      <c r="C9" s="70" t="s">
        <v>2198</v>
      </c>
      <c r="D9" s="70">
        <v>13</v>
      </c>
      <c r="E9" s="70" t="s">
        <v>2199</v>
      </c>
      <c r="F9" s="223"/>
      <c r="G9" s="224" t="s">
        <v>2199</v>
      </c>
      <c r="H9" s="211"/>
      <c r="I9" s="225" t="s">
        <v>8</v>
      </c>
      <c r="J9" s="225" t="s">
        <v>1634</v>
      </c>
      <c r="K9" s="225" t="s">
        <v>1635</v>
      </c>
      <c r="L9" s="226"/>
      <c r="M9" s="229"/>
      <c r="N9" s="228"/>
      <c r="O9" s="228"/>
      <c r="P9" s="228"/>
      <c r="Q9" s="215"/>
      <c r="R9" s="216"/>
    </row>
    <row r="10" spans="1:18" ht="56">
      <c r="A10" s="213"/>
      <c r="B10" s="258"/>
      <c r="C10" s="70" t="s">
        <v>2200</v>
      </c>
      <c r="D10" s="70">
        <f>COUNTIF(J6:J198,"weak evaluation")</f>
        <v>14</v>
      </c>
      <c r="E10" s="70" t="str">
        <f ca="1">IFERROR(__xludf.DUMMYFUNCTION("JOIN ("", "", FILTER(I6:I198, J6:J198=""weak evaluation""))"),"P7, P14, P15, P20, P29, P36, P37, P38, P39, P40, P41, P42, P45, P46")</f>
        <v>P7, P14, P15, P20, P29, P36, P37, P38, P39, P40, P41, P42, P45, P46</v>
      </c>
      <c r="F10" s="223"/>
      <c r="G10" s="224" t="s">
        <v>2201</v>
      </c>
      <c r="H10" s="211"/>
      <c r="I10" s="225" t="s">
        <v>8</v>
      </c>
      <c r="J10" s="225" t="s">
        <v>1637</v>
      </c>
      <c r="K10" s="225"/>
      <c r="L10" s="226"/>
      <c r="M10" s="211"/>
      <c r="N10" s="120"/>
      <c r="O10" s="120"/>
      <c r="P10" s="120"/>
      <c r="Q10" s="215"/>
      <c r="R10" s="215"/>
    </row>
    <row r="11" spans="1:18" ht="28">
      <c r="A11" s="213"/>
      <c r="B11" s="254"/>
      <c r="C11" s="42" t="s">
        <v>1637</v>
      </c>
      <c r="D11" s="70">
        <v>41</v>
      </c>
      <c r="E11" s="114" t="s">
        <v>2202</v>
      </c>
      <c r="F11" s="223"/>
      <c r="G11" s="224" t="s">
        <v>2202</v>
      </c>
      <c r="H11" s="211"/>
      <c r="I11" s="225" t="s">
        <v>14</v>
      </c>
      <c r="J11" s="225" t="s">
        <v>1619</v>
      </c>
      <c r="K11" s="225" t="s">
        <v>1639</v>
      </c>
      <c r="L11" s="226" t="s">
        <v>1640</v>
      </c>
      <c r="M11" s="211"/>
      <c r="N11" s="120"/>
      <c r="O11" s="120"/>
      <c r="P11" s="120"/>
      <c r="Q11" s="215"/>
      <c r="R11" s="215"/>
    </row>
    <row r="12" spans="1:18" ht="112">
      <c r="A12" s="213"/>
      <c r="B12" s="329" t="s">
        <v>2203</v>
      </c>
      <c r="C12" s="70" t="s">
        <v>1615</v>
      </c>
      <c r="D12" s="70">
        <f>COUNTIF(CleanedData!F112:F157,"not mentioned in study")</f>
        <v>34</v>
      </c>
      <c r="E12" s="114" t="str">
        <f ca="1">IFERROR(__xludf.DUMMYFUNCTION("JOIN ("", "", FILTER(CleanedData!A112:A157, CleanedData!F112:F157=""not mentioned in study""))"),"P1, P2, P3, P4, P5, P6, P7, P8, P10, P11, P12, P15, P17, P18, P20, P21, P22, P24, P25, P26, P27, P28, P29, P31, P32, P34, P35, P36, P38, P40, P42, P43, P45, P46")</f>
        <v>P1, P2, P3, P4, P5, P6, P7, P8, P10, P11, P12, P15, P17, P18, P20, P21, P22, P24, P25, P26, P27, P28, P29, P31, P32, P34, P35, P36, P38, P40, P42, P43, P45, P46</v>
      </c>
      <c r="F12" s="223"/>
      <c r="G12" s="224" t="s">
        <v>2204</v>
      </c>
      <c r="H12" s="211"/>
      <c r="I12" s="225" t="s">
        <v>14</v>
      </c>
      <c r="J12" s="225" t="s">
        <v>1637</v>
      </c>
      <c r="K12" s="225"/>
      <c r="L12" s="226"/>
      <c r="M12" s="211"/>
      <c r="N12" s="215"/>
      <c r="O12" s="215"/>
      <c r="P12" s="215"/>
      <c r="Q12" s="215"/>
      <c r="R12" s="216"/>
    </row>
    <row r="13" spans="1:18" ht="14">
      <c r="A13" s="213"/>
      <c r="B13" s="258"/>
      <c r="C13" s="70" t="s">
        <v>2205</v>
      </c>
      <c r="D13" s="70">
        <f>COUNTIF(J6:J198,"not scalable")</f>
        <v>2</v>
      </c>
      <c r="E13" s="114" t="str">
        <f ca="1">IFERROR(__xludf.DUMMYFUNCTION("JOIN ("", "", FILTER(I6:I198, J6:J198=""not scalable""))"),"P14, P39")</f>
        <v>P14, P39</v>
      </c>
      <c r="F13" s="231" t="s">
        <v>2206</v>
      </c>
      <c r="G13" s="232"/>
      <c r="I13" s="225" t="s">
        <v>14</v>
      </c>
      <c r="J13" s="225" t="s">
        <v>1615</v>
      </c>
      <c r="K13" s="225"/>
      <c r="L13" s="226"/>
      <c r="M13" s="211"/>
      <c r="N13" s="215"/>
      <c r="O13" s="215"/>
      <c r="P13" s="215"/>
      <c r="Q13" s="215"/>
      <c r="R13" s="215"/>
    </row>
    <row r="14" spans="1:18" ht="42">
      <c r="A14" s="213"/>
      <c r="B14" s="258"/>
      <c r="C14" s="42" t="s">
        <v>1798</v>
      </c>
      <c r="D14" s="70">
        <v>1</v>
      </c>
      <c r="E14" s="114" t="s">
        <v>144</v>
      </c>
      <c r="F14" s="231" t="s">
        <v>144</v>
      </c>
      <c r="G14" s="232"/>
      <c r="I14" s="225" t="s">
        <v>17</v>
      </c>
      <c r="J14" s="225" t="s">
        <v>1643</v>
      </c>
      <c r="K14" s="225" t="s">
        <v>1644</v>
      </c>
      <c r="L14" s="226" t="s">
        <v>1645</v>
      </c>
      <c r="M14" s="211"/>
      <c r="N14" s="215"/>
      <c r="O14" s="215"/>
      <c r="P14" s="216"/>
      <c r="Q14" s="215"/>
      <c r="R14" s="215"/>
    </row>
    <row r="15" spans="1:18" ht="42">
      <c r="A15" s="213"/>
      <c r="B15" s="254"/>
      <c r="C15" s="70" t="s">
        <v>1627</v>
      </c>
      <c r="D15" s="70">
        <v>37</v>
      </c>
      <c r="E15" s="114" t="s">
        <v>2207</v>
      </c>
      <c r="F15" s="231"/>
      <c r="G15" s="224" t="s">
        <v>2207</v>
      </c>
      <c r="I15" s="225" t="s">
        <v>17</v>
      </c>
      <c r="J15" s="225" t="s">
        <v>1648</v>
      </c>
      <c r="K15" s="225"/>
      <c r="L15" s="226"/>
      <c r="M15" s="211"/>
      <c r="N15" s="215"/>
      <c r="O15" s="215"/>
      <c r="P15" s="215"/>
      <c r="Q15" s="215"/>
      <c r="R15" s="216"/>
    </row>
    <row r="16" spans="1:18" ht="28">
      <c r="A16" s="213"/>
      <c r="B16" s="329" t="s">
        <v>2208</v>
      </c>
      <c r="C16" s="70" t="s">
        <v>1643</v>
      </c>
      <c r="D16" s="111">
        <f>COUNTIF(J6:J198,"Manual configurations required")</f>
        <v>10</v>
      </c>
      <c r="E16" s="114" t="str">
        <f ca="1">IFERROR(__xludf.DUMMYFUNCTION("JOIN ("", "", FILTER(I6:I198, J6:J198=""Manual configurations required""))"),"P3, P14, P19, P20, P22, P24, P35, P36, P39, P45")</f>
        <v>P3, P14, P19, P20, P22, P24, P35, P36, P39, P45</v>
      </c>
      <c r="F16" s="223" t="s">
        <v>2209</v>
      </c>
      <c r="G16" s="224" t="s">
        <v>2210</v>
      </c>
      <c r="H16" s="211"/>
      <c r="I16" s="225" t="s">
        <v>17</v>
      </c>
      <c r="J16" s="225" t="s">
        <v>1637</v>
      </c>
      <c r="K16" s="225"/>
      <c r="L16" s="226"/>
      <c r="M16" s="211"/>
      <c r="N16" s="215"/>
      <c r="O16" s="215"/>
      <c r="P16" s="215"/>
      <c r="Q16" s="215"/>
      <c r="R16" s="216"/>
    </row>
    <row r="17" spans="1:18" ht="30">
      <c r="A17" s="213"/>
      <c r="B17" s="258"/>
      <c r="C17" s="70" t="s">
        <v>2211</v>
      </c>
      <c r="D17" s="111">
        <f>COUNTIF(J6:J198,"significant manual effort required")</f>
        <v>4</v>
      </c>
      <c r="E17" s="114" t="str">
        <f ca="1">IFERROR(__xludf.DUMMYFUNCTION("JOIN ("", "", FILTER(I6:I198, J6:J198=""significant manual effort required""))"),"P15, P21, P32, P34")</f>
        <v>P15, P21, P32, P34</v>
      </c>
      <c r="F17" s="177" t="s">
        <v>2212</v>
      </c>
      <c r="G17" s="233" t="s">
        <v>2213</v>
      </c>
      <c r="H17" s="234"/>
      <c r="I17" s="225" t="s">
        <v>17</v>
      </c>
      <c r="J17" s="225" t="s">
        <v>1619</v>
      </c>
      <c r="K17" s="225"/>
      <c r="L17" s="226"/>
      <c r="M17" s="211"/>
      <c r="N17" s="215"/>
      <c r="O17" s="215"/>
      <c r="P17" s="215"/>
      <c r="Q17" s="215"/>
      <c r="R17" s="215"/>
    </row>
    <row r="18" spans="1:18" ht="28">
      <c r="A18" s="213"/>
      <c r="B18" s="258"/>
      <c r="C18" s="70" t="s">
        <v>1728</v>
      </c>
      <c r="D18" s="70">
        <f>COUNTIF(J6:J198,"unclear which ML models are supported")</f>
        <v>7</v>
      </c>
      <c r="E18" s="114" t="str">
        <f ca="1">IFERROR(__xludf.DUMMYFUNCTION("JOIN ("", "", FILTER(I6:I198, J6:J198=""unclear which ML models are supported""))"),"P12, P24, P25, P27, P35, P38, P40")</f>
        <v>P12, P24, P25, P27, P35, P38, P40</v>
      </c>
      <c r="F18" s="223"/>
      <c r="G18" s="224" t="s">
        <v>2214</v>
      </c>
      <c r="H18" s="211"/>
      <c r="I18" s="225"/>
      <c r="J18" s="225" t="s">
        <v>1615</v>
      </c>
      <c r="K18" s="225"/>
      <c r="L18" s="226"/>
      <c r="M18" s="211"/>
      <c r="N18" s="215"/>
      <c r="O18" s="215"/>
      <c r="P18" s="215"/>
      <c r="Q18" s="215"/>
      <c r="R18" s="216"/>
    </row>
    <row r="19" spans="1:18" ht="42">
      <c r="A19" s="213"/>
      <c r="B19" s="258"/>
      <c r="C19" s="70" t="s">
        <v>1648</v>
      </c>
      <c r="D19" s="70">
        <f>COUNTIF(CleanedData!J173:J218,"no")</f>
        <v>9</v>
      </c>
      <c r="E19" s="114" t="str">
        <f ca="1">IFERROR(__xludf.DUMMYFUNCTION("JOIN ("", "", FILTER(CleanedData!D173:D218, CleanedData!J173:J218=""no""))"),"P3, P18, P19, P29, P30, P31, P40, P41, P43")</f>
        <v>P3, P18, P19, P29, P30, P31, P40, P41, P43</v>
      </c>
      <c r="F19" s="235"/>
      <c r="G19" s="236" t="s">
        <v>2215</v>
      </c>
      <c r="H19" s="237"/>
      <c r="I19" s="225" t="s">
        <v>21</v>
      </c>
      <c r="J19" s="225" t="s">
        <v>1655</v>
      </c>
      <c r="K19" s="225" t="s">
        <v>1656</v>
      </c>
      <c r="L19" s="226"/>
      <c r="M19" s="211"/>
      <c r="N19" s="215"/>
      <c r="P19" s="215"/>
      <c r="Q19" s="215"/>
      <c r="R19" s="216"/>
    </row>
    <row r="20" spans="1:18" ht="14">
      <c r="A20" s="213"/>
      <c r="B20" s="258"/>
      <c r="C20" s="114" t="s">
        <v>1655</v>
      </c>
      <c r="D20" s="114">
        <f>COUNTIF(J6:J198,"library dependent")</f>
        <v>2</v>
      </c>
      <c r="E20" s="114" t="str">
        <f ca="1">IFERROR(__xludf.DUMMYFUNCTION("JOIN ("", "", FILTER(I6:I198, J6:J198=""library dependent""))"),"P4, P21")</f>
        <v>P4, P21</v>
      </c>
      <c r="F20" s="223" t="s">
        <v>87</v>
      </c>
      <c r="G20" s="224" t="s">
        <v>21</v>
      </c>
      <c r="H20" s="211"/>
      <c r="I20" s="225" t="s">
        <v>21</v>
      </c>
      <c r="J20" s="225" t="s">
        <v>1637</v>
      </c>
      <c r="K20" s="225" t="s">
        <v>1658</v>
      </c>
      <c r="L20" s="226" t="s">
        <v>1659</v>
      </c>
      <c r="M20" s="211"/>
      <c r="N20" s="215"/>
      <c r="O20" s="215"/>
      <c r="P20" s="216"/>
      <c r="Q20" s="215"/>
      <c r="R20" s="215"/>
    </row>
    <row r="21" spans="1:18" ht="42">
      <c r="A21" s="213"/>
      <c r="B21" s="258"/>
      <c r="C21" s="114" t="s">
        <v>1779</v>
      </c>
      <c r="D21" s="114">
        <f>COUNTIF(J6:J198,"approach lacks rigour")</f>
        <v>10</v>
      </c>
      <c r="E21" s="114" t="str">
        <f ca="1">IFERROR(__xludf.DUMMYFUNCTION("JOIN ("", "", FILTER(I6:I198, J6:J198=""approach lacks rigour""))"),"P26, P27, P28, P29, P31, P36, P38, P40, P41, P43")</f>
        <v>P26, P27, P28, P29, P31, P36, P38, P40, P41, P43</v>
      </c>
      <c r="F21" s="223"/>
      <c r="G21" s="224" t="s">
        <v>2216</v>
      </c>
      <c r="H21" s="211"/>
      <c r="I21" s="225" t="s">
        <v>21</v>
      </c>
      <c r="J21" s="225" t="s">
        <v>1619</v>
      </c>
      <c r="K21" s="225"/>
      <c r="L21" s="226"/>
      <c r="M21" s="211"/>
      <c r="N21" s="215"/>
      <c r="O21" s="215"/>
      <c r="P21" s="216"/>
      <c r="Q21" s="215"/>
      <c r="R21" s="216"/>
    </row>
    <row r="22" spans="1:18" ht="28">
      <c r="A22" s="213"/>
      <c r="B22" s="258"/>
      <c r="C22" s="114" t="s">
        <v>1665</v>
      </c>
      <c r="D22" s="114">
        <f>COUNTIF(J6:J198,"single error can defeat the purpose of the approach")</f>
        <v>1</v>
      </c>
      <c r="E22" s="114" t="str">
        <f ca="1">IFERROR(__xludf.DUMMYFUNCTION("JOIN ("", "", FILTER(I6:I198, J6:J198=""single error can defeat the purpose of the approach""))"),"P4")</f>
        <v>P4</v>
      </c>
      <c r="F22" s="238" t="s">
        <v>21</v>
      </c>
      <c r="G22" s="239"/>
      <c r="H22" s="211"/>
      <c r="I22" s="225" t="s">
        <v>21</v>
      </c>
      <c r="J22" s="225" t="s">
        <v>1615</v>
      </c>
      <c r="K22" s="225"/>
      <c r="L22" s="226"/>
      <c r="M22" s="211"/>
      <c r="N22" s="215"/>
      <c r="O22" s="215"/>
      <c r="P22" s="215"/>
      <c r="Q22" s="215"/>
      <c r="R22" s="215"/>
    </row>
    <row r="23" spans="1:18" ht="14">
      <c r="A23" s="213"/>
      <c r="B23" s="240"/>
      <c r="C23" s="16"/>
      <c r="D23" s="16"/>
      <c r="E23" s="16"/>
      <c r="F23" s="40"/>
      <c r="G23" s="40"/>
      <c r="I23" s="225" t="s">
        <v>21</v>
      </c>
      <c r="J23" s="225" t="s">
        <v>1627</v>
      </c>
      <c r="K23" s="225"/>
      <c r="L23" s="226"/>
      <c r="M23" s="211"/>
      <c r="N23" s="241" t="s">
        <v>2217</v>
      </c>
      <c r="O23" s="215"/>
      <c r="P23" s="215"/>
      <c r="Q23" s="215"/>
      <c r="R23" s="215"/>
    </row>
    <row r="24" spans="1:18" ht="24" customHeight="1">
      <c r="A24" s="213"/>
      <c r="B24" s="242" t="s">
        <v>2218</v>
      </c>
      <c r="C24" s="182" t="s">
        <v>2219</v>
      </c>
      <c r="D24" s="182" t="s">
        <v>1841</v>
      </c>
      <c r="E24" s="182" t="s">
        <v>2220</v>
      </c>
      <c r="F24" s="8"/>
      <c r="G24" s="8"/>
      <c r="H24" s="211"/>
      <c r="I24" s="225" t="s">
        <v>21</v>
      </c>
      <c r="J24" s="225" t="s">
        <v>1665</v>
      </c>
      <c r="K24" s="225"/>
      <c r="L24" s="226"/>
      <c r="M24" s="211"/>
      <c r="N24" s="215"/>
      <c r="O24" s="215"/>
      <c r="P24" s="216"/>
      <c r="Q24" s="215"/>
      <c r="R24" s="215"/>
    </row>
    <row r="25" spans="1:18" ht="14">
      <c r="A25" s="213"/>
      <c r="B25" s="329" t="s">
        <v>2221</v>
      </c>
      <c r="C25" s="114" t="s">
        <v>1640</v>
      </c>
      <c r="D25" s="114">
        <f>COUNTIF(L6:L198,"optimize generated code ")</f>
        <v>2</v>
      </c>
      <c r="E25" s="114" t="str">
        <f ca="1">IFERROR(__xludf.DUMMYFUNCTION("JOIN ("", "", FILTER(I6:I198, L6:L198=""optimize generated code ""))"),"P2, P33")</f>
        <v>P2, P33</v>
      </c>
      <c r="F25" s="152"/>
      <c r="G25" s="152"/>
      <c r="H25" s="234"/>
      <c r="I25" s="225" t="s">
        <v>26</v>
      </c>
      <c r="J25" s="225" t="s">
        <v>457</v>
      </c>
      <c r="K25" s="225"/>
      <c r="L25" s="226"/>
      <c r="M25" s="211"/>
      <c r="N25" s="215"/>
      <c r="O25" s="215"/>
      <c r="P25" s="215"/>
      <c r="Q25" s="215"/>
      <c r="R25" s="215"/>
    </row>
    <row r="26" spans="1:18" ht="14">
      <c r="A26" s="213"/>
      <c r="B26" s="258"/>
      <c r="C26" s="114" t="s">
        <v>1807</v>
      </c>
      <c r="D26" s="111">
        <f>COUNTIF(L6:L198,"optimal resource allocation")</f>
        <v>1</v>
      </c>
      <c r="E26" s="106" t="str">
        <f ca="1">IFERROR(__xludf.DUMMYFUNCTION("JOIN ("", "", FILTER(I6:I198, L6:L198=""optimal resource allocation""))"),"P37")</f>
        <v>P37</v>
      </c>
      <c r="F26" s="8"/>
      <c r="G26" s="8"/>
      <c r="H26" s="211"/>
      <c r="I26" s="225" t="s">
        <v>26</v>
      </c>
      <c r="J26" s="225" t="s">
        <v>1615</v>
      </c>
      <c r="K26" s="225"/>
      <c r="L26" s="226"/>
      <c r="M26" s="211"/>
      <c r="N26" s="215"/>
      <c r="O26" s="215"/>
      <c r="P26" s="215"/>
      <c r="Q26" s="215"/>
      <c r="R26" s="216"/>
    </row>
    <row r="27" spans="1:18" ht="14">
      <c r="A27" s="213"/>
      <c r="B27" s="258"/>
      <c r="C27" s="214" t="s">
        <v>1813</v>
      </c>
      <c r="D27" s="111">
        <f>COUNTIF(L6:L198,"enhance scalability")</f>
        <v>1</v>
      </c>
      <c r="E27" s="106" t="str">
        <f ca="1">IFERROR(__xludf.DUMMYFUNCTION("JOIN ("", "", FILTER(I6:I198, L6:L198=""enhance scalability""))"),"P40")</f>
        <v>P40</v>
      </c>
      <c r="F27" s="10"/>
      <c r="G27" s="10"/>
      <c r="I27" s="225" t="s">
        <v>26</v>
      </c>
      <c r="J27" s="225" t="s">
        <v>1627</v>
      </c>
      <c r="K27" s="225"/>
      <c r="L27" s="226"/>
      <c r="M27" s="211"/>
      <c r="N27" s="215"/>
      <c r="O27" s="215"/>
      <c r="P27" s="215"/>
      <c r="Q27" s="215"/>
      <c r="R27" s="215"/>
    </row>
    <row r="28" spans="1:18" ht="14">
      <c r="A28" s="213"/>
      <c r="B28" s="258"/>
      <c r="C28" s="30" t="s">
        <v>1762</v>
      </c>
      <c r="D28" s="243">
        <v>1</v>
      </c>
      <c r="E28" s="244" t="s">
        <v>84</v>
      </c>
      <c r="F28" s="8"/>
      <c r="G28" s="8"/>
      <c r="H28" s="211"/>
      <c r="I28" s="225" t="s">
        <v>26</v>
      </c>
      <c r="J28" s="225" t="s">
        <v>1671</v>
      </c>
      <c r="K28" s="225"/>
      <c r="L28" s="226"/>
      <c r="M28" s="211"/>
      <c r="N28" s="215"/>
      <c r="O28" s="215"/>
      <c r="P28" s="215"/>
      <c r="Q28" s="215"/>
      <c r="R28" s="215"/>
    </row>
    <row r="29" spans="1:18" ht="42">
      <c r="A29" s="213"/>
      <c r="B29" s="258"/>
      <c r="C29" s="114" t="s">
        <v>1777</v>
      </c>
      <c r="D29" s="111">
        <f>COUNTIF(L6:L198,"adaptability support")</f>
        <v>1</v>
      </c>
      <c r="E29" s="106" t="str">
        <f ca="1">IFERROR(__xludf.DUMMYFUNCTION("JOIN ("", "", FILTER(I6:I198, L6:L198=""adaptability support""))"),"P25")</f>
        <v>P25</v>
      </c>
      <c r="F29" s="8"/>
      <c r="G29" s="8"/>
      <c r="H29" s="211"/>
      <c r="I29" s="225" t="s">
        <v>29</v>
      </c>
      <c r="J29" s="225" t="s">
        <v>457</v>
      </c>
      <c r="K29" s="225" t="s">
        <v>1644</v>
      </c>
      <c r="L29" s="226" t="s">
        <v>1645</v>
      </c>
      <c r="M29" s="211"/>
      <c r="N29" s="215"/>
      <c r="O29" s="215"/>
      <c r="P29" s="215"/>
      <c r="Q29" s="215"/>
      <c r="R29" s="215"/>
    </row>
    <row r="30" spans="1:18" ht="14">
      <c r="A30" s="213"/>
      <c r="B30" s="258"/>
      <c r="C30" s="114" t="s">
        <v>1790</v>
      </c>
      <c r="D30" s="111">
        <f>COUNTIF(L6:L198,"support for model checking")</f>
        <v>1</v>
      </c>
      <c r="E30" s="106" t="str">
        <f ca="1">IFERROR(__xludf.DUMMYFUNCTION("JOIN ("", "", FILTER(I6:I198, L6:L198=""support for model checking""))"),"P32")</f>
        <v>P32</v>
      </c>
      <c r="F30" s="8"/>
      <c r="G30" s="8"/>
      <c r="H30" s="211"/>
      <c r="I30" s="225" t="s">
        <v>29</v>
      </c>
      <c r="J30" s="225" t="s">
        <v>1615</v>
      </c>
      <c r="K30" s="225" t="s">
        <v>1676</v>
      </c>
      <c r="L30" s="226" t="s">
        <v>1677</v>
      </c>
      <c r="M30" s="211"/>
      <c r="N30" s="215"/>
      <c r="O30" s="215"/>
      <c r="P30" s="216"/>
      <c r="Q30" s="215"/>
      <c r="R30" s="216"/>
    </row>
    <row r="31" spans="1:18" ht="28">
      <c r="A31" s="213"/>
      <c r="B31" s="258"/>
      <c r="C31" s="114" t="s">
        <v>1774</v>
      </c>
      <c r="D31" s="111">
        <f>COUNTIF(L6:L198,"interoperability support")</f>
        <v>3</v>
      </c>
      <c r="E31" s="106" t="str">
        <f ca="1">IFERROR(__xludf.DUMMYFUNCTION("JOIN ("", "", FILTER(I6:I198, L6:L198=""interoperability support""))"),"P24, P32, P45")</f>
        <v>P24, P32, P45</v>
      </c>
      <c r="F31" s="8"/>
      <c r="G31" s="8"/>
      <c r="H31" s="211"/>
      <c r="I31" s="225" t="s">
        <v>29</v>
      </c>
      <c r="J31" s="225" t="s">
        <v>1627</v>
      </c>
      <c r="K31" s="225" t="s">
        <v>1679</v>
      </c>
      <c r="L31" s="226"/>
      <c r="M31" s="211"/>
      <c r="N31" s="215"/>
      <c r="O31" s="215"/>
      <c r="P31" s="215"/>
      <c r="Q31" s="215"/>
      <c r="R31" s="216"/>
    </row>
    <row r="32" spans="1:18" ht="28">
      <c r="A32" s="213"/>
      <c r="B32" s="254"/>
      <c r="C32" s="114" t="s">
        <v>2222</v>
      </c>
      <c r="D32" s="111">
        <f>COUNTIF(L6:L198,"integration with tools")</f>
        <v>5</v>
      </c>
      <c r="E32" s="106" t="str">
        <f ca="1">IFERROR(__xludf.DUMMYFUNCTION("JOIN ("", "", FILTER(I6:I198, L6:L198=""integration with toolS""))"),"P1, P8, P24, P35, P43")</f>
        <v>P1, P8, P24, P35, P43</v>
      </c>
      <c r="F32" s="8"/>
      <c r="G32" s="8"/>
      <c r="H32" s="211"/>
      <c r="I32" s="225" t="s">
        <v>29</v>
      </c>
      <c r="J32" s="225"/>
      <c r="K32" s="225" t="s">
        <v>1680</v>
      </c>
      <c r="L32" s="226"/>
      <c r="M32" s="211"/>
      <c r="N32" s="215"/>
      <c r="O32" s="215"/>
      <c r="P32" s="216"/>
      <c r="Q32" s="215"/>
      <c r="R32" s="216"/>
    </row>
    <row r="33" spans="1:18" ht="42">
      <c r="A33" s="213"/>
      <c r="B33" s="329" t="s">
        <v>2223</v>
      </c>
      <c r="C33" s="114" t="s">
        <v>2224</v>
      </c>
      <c r="D33" s="111">
        <f>COUNTIF(L6:L198,"more features")</f>
        <v>19</v>
      </c>
      <c r="E33" s="106" t="str">
        <f ca="1">IFERROR(__xludf.DUMMYFUNCTION("JOIN ("", "", FILTER(I6:I198, L6:L198=""MORE FEATURES""))"),"P6, P9, P10, P12, P14, P15, P16, P18, P19, P20, P22, P24, P25, P28, P34, P35, P36, P39, P42")</f>
        <v>P6, P9, P10, P12, P14, P15, P16, P18, P19, P20, P22, P24, P25, P28, P34, P35, P36, P39, P42</v>
      </c>
      <c r="F33" s="8"/>
      <c r="G33" s="8"/>
      <c r="H33" s="211"/>
      <c r="I33" s="225" t="s">
        <v>32</v>
      </c>
      <c r="J33" s="225" t="s">
        <v>1683</v>
      </c>
      <c r="K33" s="225" t="s">
        <v>1684</v>
      </c>
      <c r="L33" s="245" t="s">
        <v>1685</v>
      </c>
      <c r="M33" s="211"/>
      <c r="N33" s="215"/>
      <c r="O33" s="215"/>
      <c r="P33" s="216"/>
      <c r="Q33" s="215"/>
      <c r="R33" s="216"/>
    </row>
    <row r="34" spans="1:18" ht="28">
      <c r="A34" s="213"/>
      <c r="B34" s="258"/>
      <c r="C34" s="214" t="s">
        <v>1621</v>
      </c>
      <c r="D34" s="111">
        <f>COUNTIF(L6:L198,"more platform support")</f>
        <v>5</v>
      </c>
      <c r="E34" s="106" t="str">
        <f ca="1">IFERROR(__xludf.DUMMYFUNCTION("JOIN ("", "", FILTER(I6:I198, L6:L198=""more platform support""))"),"P1, P21, P27, P32, P35")</f>
        <v>P1, P21, P27, P32, P35</v>
      </c>
      <c r="F34" s="8"/>
      <c r="G34" s="8"/>
      <c r="H34" s="211"/>
      <c r="I34" s="225" t="s">
        <v>32</v>
      </c>
      <c r="J34" s="225" t="s">
        <v>1687</v>
      </c>
      <c r="K34" s="225" t="s">
        <v>1688</v>
      </c>
      <c r="L34" s="226" t="s">
        <v>1689</v>
      </c>
      <c r="M34" s="211"/>
      <c r="N34" s="215"/>
      <c r="O34" s="215"/>
      <c r="P34" s="216"/>
      <c r="Q34" s="215"/>
      <c r="R34" s="216"/>
    </row>
    <row r="35" spans="1:18" ht="14">
      <c r="A35" s="213"/>
      <c r="B35" s="258"/>
      <c r="C35" s="214" t="s">
        <v>1689</v>
      </c>
      <c r="D35" s="111">
        <f>COUNTIF(L6:L198,"code generation for more languages")</f>
        <v>4</v>
      </c>
      <c r="E35" s="106" t="str">
        <f ca="1">IFERROR(__xludf.DUMMYFUNCTION("JOIN ("", "", FILTER(I6:I198, L6:L198=""code generation for more languages""))"),"P7, P8, P22, P36")</f>
        <v>P7, P8, P22, P36</v>
      </c>
      <c r="F35" s="8"/>
      <c r="G35" s="8"/>
      <c r="H35" s="211"/>
      <c r="I35" s="225" t="s">
        <v>32</v>
      </c>
      <c r="J35" s="225" t="s">
        <v>1694</v>
      </c>
      <c r="K35" s="225"/>
      <c r="L35" s="226"/>
      <c r="M35" s="211"/>
      <c r="N35" s="215"/>
      <c r="O35" s="215"/>
      <c r="P35" s="216"/>
      <c r="Q35" s="215"/>
      <c r="R35" s="215"/>
    </row>
    <row r="36" spans="1:18" ht="28">
      <c r="A36" s="213"/>
      <c r="B36" s="258"/>
      <c r="C36" s="114" t="s">
        <v>1645</v>
      </c>
      <c r="D36" s="111">
        <f>COUNTIF(L6:L198,"consider complex scenarios (robustness)")</f>
        <v>4</v>
      </c>
      <c r="E36" s="106" t="str">
        <f ca="1">IFERROR(__xludf.DUMMYFUNCTION("JOIN ("", "", FILTER(I6:I198, L6:L198=""consider complex scenarios (robustness)""))"),"P3, P6, P15, P36")</f>
        <v>P3, P6, P15, P36</v>
      </c>
      <c r="F36" s="8"/>
      <c r="G36" s="8"/>
      <c r="H36" s="211"/>
      <c r="I36" s="225" t="s">
        <v>36</v>
      </c>
      <c r="J36" s="225" t="s">
        <v>457</v>
      </c>
      <c r="K36" s="225" t="s">
        <v>1695</v>
      </c>
      <c r="L36" s="226" t="s">
        <v>1689</v>
      </c>
      <c r="M36" s="211"/>
      <c r="N36" s="215"/>
      <c r="O36" s="215"/>
      <c r="P36" s="216"/>
      <c r="Q36" s="215"/>
      <c r="R36" s="215"/>
    </row>
    <row r="37" spans="1:18" ht="28">
      <c r="A37" s="213"/>
      <c r="B37" s="258"/>
      <c r="C37" s="114" t="s">
        <v>1685</v>
      </c>
      <c r="D37" s="111">
        <f>COUNTIF(L7:L199,"support more ML models")</f>
        <v>8</v>
      </c>
      <c r="E37" s="106" t="str">
        <f ca="1">IFERROR(__xludf.DUMMYFUNCTION("JOIN ("", "", FILTER(I6:I198, L6:L198=""support more ML models""))"),"P7, P22, P23, P30, P33, P34, P37, P45")</f>
        <v>P7, P22, P23, P30, P33, P34, P37, P45</v>
      </c>
      <c r="F37" s="8"/>
      <c r="G37" s="8"/>
      <c r="H37" s="211"/>
      <c r="I37" s="225" t="s">
        <v>36</v>
      </c>
      <c r="J37" s="225" t="s">
        <v>1647</v>
      </c>
      <c r="K37" s="225" t="s">
        <v>1699</v>
      </c>
      <c r="L37" s="226" t="s">
        <v>1629</v>
      </c>
      <c r="M37" s="211"/>
      <c r="N37" s="215"/>
      <c r="O37" s="215"/>
      <c r="P37" s="216"/>
      <c r="Q37" s="215"/>
      <c r="R37" s="215"/>
    </row>
    <row r="38" spans="1:18" ht="14">
      <c r="A38" s="213"/>
      <c r="B38" s="258"/>
      <c r="C38" s="114" t="s">
        <v>2225</v>
      </c>
      <c r="D38" s="114">
        <v>6</v>
      </c>
      <c r="E38" s="114" t="s">
        <v>2226</v>
      </c>
      <c r="F38" s="8"/>
      <c r="G38" s="8"/>
      <c r="H38" s="211"/>
      <c r="I38" s="225" t="s">
        <v>36</v>
      </c>
      <c r="J38" s="225" t="s">
        <v>1627</v>
      </c>
      <c r="K38" s="225"/>
      <c r="L38" s="226"/>
      <c r="M38" s="211"/>
      <c r="N38" s="215"/>
      <c r="O38" s="215"/>
      <c r="P38" s="215"/>
      <c r="Q38" s="215"/>
      <c r="R38" s="215"/>
    </row>
    <row r="39" spans="1:18" ht="14">
      <c r="A39" s="213"/>
      <c r="B39" s="258"/>
      <c r="C39" s="114" t="s">
        <v>1734</v>
      </c>
      <c r="D39" s="111">
        <f>COUNTIF(L9:L201,"build a DSL")</f>
        <v>3</v>
      </c>
      <c r="E39" s="106" t="str">
        <f ca="1">IFERROR(__xludf.DUMMYFUNCTION("JOIN ("", "", FILTER(I6:I198, L6:L198=""build a DSL""))"),"P14, P16, P27")</f>
        <v>P14, P16, P27</v>
      </c>
      <c r="F39" s="8"/>
      <c r="G39" s="8"/>
      <c r="H39" s="211"/>
      <c r="I39" s="225" t="s">
        <v>39</v>
      </c>
      <c r="J39" s="225" t="s">
        <v>1703</v>
      </c>
      <c r="K39" s="225" t="s">
        <v>1704</v>
      </c>
      <c r="L39" s="226" t="s">
        <v>1705</v>
      </c>
      <c r="M39" s="211"/>
      <c r="N39" s="215"/>
      <c r="O39" s="215"/>
      <c r="P39" s="215"/>
      <c r="Q39" s="215"/>
      <c r="R39" s="215"/>
    </row>
    <row r="40" spans="1:18" ht="28">
      <c r="A40" s="213"/>
      <c r="B40" s="254"/>
      <c r="C40" s="114" t="s">
        <v>1742</v>
      </c>
      <c r="D40" s="111">
        <f>COUNTIF(L10:L202,"tool support")</f>
        <v>1</v>
      </c>
      <c r="E40" s="106" t="str">
        <f ca="1">IFERROR(__xludf.DUMMYFUNCTION("JOIN ("", "", FILTER(I6:I198, L6:L198=""tool support""))"),"P15")</f>
        <v>P15</v>
      </c>
      <c r="F40" s="8"/>
      <c r="G40" s="8"/>
      <c r="H40" s="211"/>
      <c r="I40" s="225" t="s">
        <v>39</v>
      </c>
      <c r="J40" s="225" t="s">
        <v>1694</v>
      </c>
      <c r="K40" s="225" t="s">
        <v>1707</v>
      </c>
      <c r="L40" s="226" t="s">
        <v>1677</v>
      </c>
      <c r="M40" s="211"/>
      <c r="N40" s="215"/>
      <c r="O40" s="215"/>
      <c r="P40" s="216"/>
      <c r="Q40" s="215"/>
      <c r="R40" s="215"/>
    </row>
    <row r="41" spans="1:18" ht="14">
      <c r="A41" s="246"/>
      <c r="B41" s="328" t="s">
        <v>2227</v>
      </c>
      <c r="C41" s="214" t="s">
        <v>2228</v>
      </c>
      <c r="D41" s="111">
        <f>COUNTIF(L11:L203,"perform evaluation")</f>
        <v>1</v>
      </c>
      <c r="E41" s="106" t="str">
        <f ca="1">IFERROR(__xludf.DUMMYFUNCTION("JOIN ("", "", FILTER(I6:I198, L6:L198=""perform evaluation""))"),"P18")</f>
        <v>P18</v>
      </c>
      <c r="F41" s="8"/>
      <c r="G41" s="8"/>
      <c r="H41" s="211"/>
      <c r="I41" s="225" t="s">
        <v>39</v>
      </c>
      <c r="J41" s="225" t="s">
        <v>1687</v>
      </c>
      <c r="K41" s="225"/>
      <c r="L41" s="226"/>
      <c r="M41" s="211"/>
      <c r="N41" s="215"/>
      <c r="O41" s="215"/>
      <c r="P41" s="215"/>
      <c r="Q41" s="215"/>
      <c r="R41" s="215"/>
    </row>
    <row r="42" spans="1:18" ht="28">
      <c r="A42" s="246"/>
      <c r="B42" s="258"/>
      <c r="C42" s="114" t="s">
        <v>1705</v>
      </c>
      <c r="D42" s="111">
        <f>COUNTIF(L12:L204,"extend evaluation")</f>
        <v>13</v>
      </c>
      <c r="E42" s="106" t="str">
        <f ca="1">IFERROR(__xludf.DUMMYFUNCTION("JOIN ("", "", FILTER(I6:I198, L6:L198=""extend evaluation""))"),"P9, P12, P14, P17, P19, P20, P23, P24, P38, P39, P40, P42, P45")</f>
        <v>P9, P12, P14, P17, P19, P20, P23, P24, P38, P39, P40, P42, P45</v>
      </c>
      <c r="F42" s="8"/>
      <c r="G42" s="8"/>
      <c r="H42" s="211"/>
      <c r="I42" s="225" t="s">
        <v>43</v>
      </c>
      <c r="J42" s="225" t="s">
        <v>1647</v>
      </c>
      <c r="K42" s="225" t="s">
        <v>1713</v>
      </c>
      <c r="L42" s="226" t="s">
        <v>1677</v>
      </c>
      <c r="M42" s="211"/>
      <c r="N42" s="215"/>
      <c r="O42" s="215"/>
      <c r="P42" s="216"/>
      <c r="Q42" s="215"/>
      <c r="R42" s="215"/>
    </row>
    <row r="43" spans="1:18" ht="42">
      <c r="A43" s="246"/>
      <c r="B43" s="254"/>
      <c r="C43" s="114" t="s">
        <v>1753</v>
      </c>
      <c r="D43" s="111">
        <f>COUNTIF(L13:L205,"perform user study")</f>
        <v>3</v>
      </c>
      <c r="E43" s="106" t="str">
        <f ca="1">IFERROR(__xludf.DUMMYFUNCTION("JOIN ("", "", FILTER(I6:I198, L6:L198=""perform user study""))"),"P17, P28, P30")</f>
        <v>P17, P28, P30</v>
      </c>
      <c r="F43" s="8"/>
      <c r="G43" s="8"/>
      <c r="H43" s="211"/>
      <c r="I43" s="225" t="s">
        <v>43</v>
      </c>
      <c r="J43" s="225"/>
      <c r="K43" s="230" t="s">
        <v>1715</v>
      </c>
      <c r="L43" s="226"/>
      <c r="M43" s="211"/>
      <c r="N43" s="215"/>
      <c r="O43" s="215"/>
      <c r="P43" s="215"/>
      <c r="Q43" s="215"/>
      <c r="R43" s="216"/>
    </row>
    <row r="44" spans="1:18" ht="14">
      <c r="A44" s="246"/>
      <c r="B44" s="246"/>
      <c r="F44" s="211"/>
      <c r="G44" s="211"/>
      <c r="H44" s="211"/>
      <c r="I44" s="225" t="s">
        <v>43</v>
      </c>
      <c r="J44" s="225"/>
      <c r="K44" s="225" t="s">
        <v>1718</v>
      </c>
      <c r="L44" s="226"/>
      <c r="M44" s="211"/>
      <c r="N44" s="215"/>
      <c r="O44" s="215"/>
      <c r="P44" s="215"/>
      <c r="Q44" s="215"/>
      <c r="R44" s="216"/>
    </row>
    <row r="45" spans="1:18" ht="28">
      <c r="A45" s="246"/>
      <c r="B45" s="246"/>
      <c r="D45" s="211"/>
      <c r="E45" s="211"/>
      <c r="F45" s="211"/>
      <c r="G45" s="211"/>
      <c r="H45" s="211"/>
      <c r="I45" s="225" t="s">
        <v>43</v>
      </c>
      <c r="J45" s="225"/>
      <c r="K45" s="225" t="s">
        <v>1721</v>
      </c>
      <c r="L45" s="226"/>
      <c r="M45" s="211"/>
      <c r="N45" s="215"/>
      <c r="O45" s="215"/>
      <c r="P45" s="216"/>
      <c r="Q45" s="215"/>
      <c r="R45" s="216"/>
    </row>
    <row r="46" spans="1:18" ht="14">
      <c r="A46" s="246"/>
      <c r="B46" s="246"/>
      <c r="D46" s="211"/>
      <c r="E46" s="211"/>
      <c r="F46" s="211"/>
      <c r="G46" s="211"/>
      <c r="H46" s="211"/>
      <c r="I46" s="225" t="s">
        <v>49</v>
      </c>
      <c r="J46" s="225" t="s">
        <v>1694</v>
      </c>
      <c r="K46" s="225"/>
      <c r="L46" s="226"/>
      <c r="M46" s="211"/>
      <c r="N46" s="215"/>
      <c r="O46" s="215"/>
      <c r="P46" s="215"/>
      <c r="Q46" s="215"/>
      <c r="R46" s="216"/>
    </row>
    <row r="47" spans="1:18" ht="14">
      <c r="A47" s="246"/>
      <c r="B47" s="246"/>
      <c r="C47" s="247"/>
      <c r="D47" s="211"/>
      <c r="E47" s="211"/>
      <c r="F47" s="211"/>
      <c r="G47" s="211"/>
      <c r="H47" s="211"/>
      <c r="I47" s="225" t="s">
        <v>49</v>
      </c>
      <c r="J47" s="225" t="s">
        <v>1687</v>
      </c>
      <c r="K47" s="225"/>
      <c r="L47" s="226"/>
      <c r="M47" s="211"/>
      <c r="N47" s="215"/>
      <c r="O47" s="215"/>
      <c r="P47" s="215"/>
      <c r="Q47" s="215"/>
      <c r="R47" s="216"/>
    </row>
    <row r="48" spans="1:18" ht="14">
      <c r="A48" s="246"/>
      <c r="B48" s="246"/>
      <c r="C48" s="247"/>
      <c r="D48" s="211"/>
      <c r="E48" s="211"/>
      <c r="F48" s="211"/>
      <c r="G48" s="211"/>
      <c r="H48" s="211"/>
      <c r="I48" s="225" t="s">
        <v>49</v>
      </c>
      <c r="J48" s="225" t="s">
        <v>1627</v>
      </c>
      <c r="K48" s="225"/>
      <c r="L48" s="226"/>
      <c r="M48" s="211"/>
      <c r="N48" s="215"/>
      <c r="O48" s="215"/>
      <c r="P48" s="216"/>
      <c r="Q48" s="215"/>
      <c r="R48" s="216"/>
    </row>
    <row r="49" spans="1:18" ht="14">
      <c r="A49" s="246"/>
      <c r="B49" s="246"/>
      <c r="C49" s="247"/>
      <c r="D49" s="211"/>
      <c r="E49" s="211"/>
      <c r="F49" s="211"/>
      <c r="G49" s="211"/>
      <c r="H49" s="211"/>
      <c r="I49" s="225" t="s">
        <v>49</v>
      </c>
      <c r="J49" s="225" t="s">
        <v>1671</v>
      </c>
      <c r="K49" s="225"/>
      <c r="L49" s="226"/>
      <c r="M49" s="211"/>
      <c r="N49" s="215"/>
      <c r="O49" s="215"/>
      <c r="P49" s="215"/>
      <c r="Q49" s="215"/>
      <c r="R49" s="215"/>
    </row>
    <row r="50" spans="1:18" ht="14">
      <c r="A50" s="246"/>
      <c r="B50" s="246"/>
      <c r="C50" s="247"/>
      <c r="D50" s="211"/>
      <c r="E50" s="211"/>
      <c r="F50" s="211"/>
      <c r="G50" s="211"/>
      <c r="H50" s="211"/>
      <c r="I50" s="225" t="s">
        <v>49</v>
      </c>
      <c r="J50" s="225" t="s">
        <v>1647</v>
      </c>
      <c r="K50" s="225"/>
      <c r="L50" s="226"/>
      <c r="M50" s="211"/>
      <c r="N50" s="215"/>
      <c r="O50" s="215"/>
      <c r="P50" s="216"/>
      <c r="Q50" s="215"/>
      <c r="R50" s="215"/>
    </row>
    <row r="51" spans="1:18" ht="28">
      <c r="A51" s="246"/>
      <c r="B51" s="246"/>
      <c r="C51" s="211"/>
      <c r="D51" s="211"/>
      <c r="E51" s="211"/>
      <c r="F51" s="211"/>
      <c r="G51" s="211"/>
      <c r="H51" s="211"/>
      <c r="I51" s="225" t="s">
        <v>53</v>
      </c>
      <c r="J51" s="225" t="s">
        <v>1647</v>
      </c>
      <c r="K51" s="225" t="s">
        <v>1727</v>
      </c>
      <c r="L51" s="226" t="s">
        <v>1705</v>
      </c>
      <c r="M51" s="211"/>
      <c r="N51" s="215"/>
      <c r="O51" s="215"/>
      <c r="P51" s="216"/>
      <c r="Q51" s="215"/>
      <c r="R51" s="216"/>
    </row>
    <row r="52" spans="1:18" ht="28">
      <c r="A52" s="246"/>
      <c r="B52" s="246"/>
      <c r="C52" s="211"/>
      <c r="D52" s="211"/>
      <c r="E52" s="211"/>
      <c r="F52" s="211"/>
      <c r="G52" s="211"/>
      <c r="H52" s="211"/>
      <c r="I52" s="225" t="s">
        <v>53</v>
      </c>
      <c r="J52" s="225" t="s">
        <v>1728</v>
      </c>
      <c r="K52" s="225" t="s">
        <v>1729</v>
      </c>
      <c r="L52" s="226"/>
      <c r="M52" s="211"/>
      <c r="N52" s="215"/>
      <c r="O52" s="215"/>
      <c r="P52" s="215"/>
      <c r="Q52" s="215"/>
      <c r="R52" s="215"/>
    </row>
    <row r="53" spans="1:18" ht="28">
      <c r="A53" s="246"/>
      <c r="B53" s="246"/>
      <c r="C53" s="211"/>
      <c r="D53" s="211"/>
      <c r="E53" s="211"/>
      <c r="F53" s="211"/>
      <c r="G53" s="211"/>
      <c r="H53" s="211"/>
      <c r="I53" s="225" t="s">
        <v>53</v>
      </c>
      <c r="J53" s="225" t="s">
        <v>1627</v>
      </c>
      <c r="K53" s="225" t="s">
        <v>1731</v>
      </c>
      <c r="L53" s="226" t="s">
        <v>1677</v>
      </c>
      <c r="M53" s="211"/>
      <c r="N53" s="215"/>
      <c r="O53" s="215"/>
      <c r="P53" s="215"/>
      <c r="Q53" s="215"/>
      <c r="R53" s="215"/>
    </row>
    <row r="54" spans="1:18" ht="14">
      <c r="A54" s="246"/>
      <c r="B54" s="246"/>
      <c r="C54" s="211"/>
      <c r="D54" s="211"/>
      <c r="E54" s="211"/>
      <c r="F54" s="211"/>
      <c r="G54" s="211"/>
      <c r="H54" s="211"/>
      <c r="I54" s="225" t="s">
        <v>53</v>
      </c>
      <c r="J54" s="225" t="s">
        <v>1694</v>
      </c>
      <c r="K54" s="225"/>
      <c r="L54" s="226"/>
      <c r="M54" s="211"/>
      <c r="N54" s="215"/>
      <c r="O54" s="215"/>
      <c r="P54" s="215"/>
      <c r="Q54" s="215"/>
      <c r="R54" s="215"/>
    </row>
    <row r="55" spans="1:18" ht="14">
      <c r="A55" s="246"/>
      <c r="B55" s="246"/>
      <c r="C55" s="211"/>
      <c r="D55" s="211"/>
      <c r="E55" s="211"/>
      <c r="F55" s="211"/>
      <c r="G55" s="211"/>
      <c r="H55" s="211"/>
      <c r="I55" s="225" t="s">
        <v>56</v>
      </c>
      <c r="J55" s="225" t="s">
        <v>1634</v>
      </c>
      <c r="K55" s="225"/>
      <c r="L55" s="226"/>
      <c r="M55" s="211"/>
      <c r="N55" s="215"/>
      <c r="O55" s="215"/>
      <c r="P55" s="215"/>
      <c r="Q55" s="215"/>
      <c r="R55" s="215"/>
    </row>
    <row r="56" spans="1:18" ht="14">
      <c r="A56" s="246"/>
      <c r="B56" s="246"/>
      <c r="C56" s="211"/>
      <c r="D56" s="211"/>
      <c r="E56" s="211"/>
      <c r="F56" s="211"/>
      <c r="G56" s="211"/>
      <c r="H56" s="211"/>
      <c r="I56" s="225" t="s">
        <v>56</v>
      </c>
      <c r="J56" s="225" t="s">
        <v>1694</v>
      </c>
      <c r="K56" s="225"/>
      <c r="L56" s="226"/>
      <c r="M56" s="211"/>
      <c r="N56" s="215"/>
      <c r="O56" s="215"/>
      <c r="P56" s="215"/>
      <c r="Q56" s="215"/>
      <c r="R56" s="215"/>
    </row>
    <row r="57" spans="1:18" ht="14">
      <c r="A57" s="246"/>
      <c r="B57" s="246"/>
      <c r="C57" s="211"/>
      <c r="D57" s="211"/>
      <c r="E57" s="211"/>
      <c r="F57" s="211"/>
      <c r="G57" s="211"/>
      <c r="H57" s="211"/>
      <c r="I57" s="225" t="s">
        <v>56</v>
      </c>
      <c r="J57" s="225" t="s">
        <v>1627</v>
      </c>
      <c r="K57" s="225"/>
      <c r="L57" s="226"/>
      <c r="M57" s="211"/>
      <c r="N57" s="215"/>
      <c r="O57" s="215"/>
      <c r="P57" s="215"/>
      <c r="Q57" s="215"/>
      <c r="R57" s="215"/>
    </row>
    <row r="58" spans="1:18" ht="14">
      <c r="A58" s="246"/>
      <c r="B58" s="246"/>
      <c r="C58" s="211"/>
      <c r="D58" s="211"/>
      <c r="E58" s="211"/>
      <c r="F58" s="211"/>
      <c r="G58" s="211"/>
      <c r="H58" s="211"/>
      <c r="I58" s="225" t="s">
        <v>56</v>
      </c>
      <c r="J58" s="225" t="s">
        <v>1703</v>
      </c>
      <c r="K58" s="225"/>
      <c r="L58" s="226"/>
      <c r="M58" s="211"/>
      <c r="N58" s="215"/>
      <c r="O58" s="215"/>
      <c r="P58" s="216"/>
      <c r="Q58" s="215"/>
      <c r="R58" s="216"/>
    </row>
    <row r="59" spans="1:18" ht="28">
      <c r="A59" s="246"/>
      <c r="B59" s="246"/>
      <c r="C59" s="248"/>
      <c r="D59" s="248"/>
      <c r="E59" s="248"/>
      <c r="F59" s="211"/>
      <c r="G59" s="211"/>
      <c r="H59" s="211"/>
      <c r="I59" s="225" t="s">
        <v>60</v>
      </c>
      <c r="J59" s="225" t="s">
        <v>1627</v>
      </c>
      <c r="K59" s="225" t="s">
        <v>1733</v>
      </c>
      <c r="L59" s="226" t="s">
        <v>1734</v>
      </c>
      <c r="M59" s="211"/>
      <c r="N59" s="215"/>
      <c r="O59" s="215"/>
      <c r="P59" s="216"/>
      <c r="Q59" s="215"/>
      <c r="R59" s="216"/>
    </row>
    <row r="60" spans="1:18" ht="28">
      <c r="A60" s="246"/>
      <c r="B60" s="246"/>
      <c r="C60" s="225" t="s">
        <v>2229</v>
      </c>
      <c r="D60" s="225">
        <f>COUNTIF(J6:J198,"Limited code generation")</f>
        <v>5</v>
      </c>
      <c r="E60" s="225" t="str">
        <f ca="1">IFERROR(__xludf.DUMMYFUNCTION("JOIN ("", "", FILTER(I6:I198, J6:J198=""Limited code generation""))"),"P1, P13, P14, P22, P32")</f>
        <v>P1, P13, P14, P22, P32</v>
      </c>
      <c r="F60" s="211"/>
      <c r="G60" s="211"/>
      <c r="H60" s="211"/>
      <c r="I60" s="225" t="s">
        <v>60</v>
      </c>
      <c r="J60" s="225" t="s">
        <v>1643</v>
      </c>
      <c r="K60" s="225"/>
      <c r="L60" s="249"/>
      <c r="M60" s="211"/>
      <c r="N60" s="215"/>
      <c r="O60" s="215"/>
      <c r="P60" s="216"/>
      <c r="Q60" s="215"/>
      <c r="R60" s="216"/>
    </row>
    <row r="61" spans="1:18" ht="42">
      <c r="A61" s="246"/>
      <c r="B61" s="246"/>
      <c r="C61" s="225" t="s">
        <v>2230</v>
      </c>
      <c r="D61" s="225">
        <f>COUNTIF(J6:J198,"complex cases not considered")</f>
        <v>4</v>
      </c>
      <c r="E61" s="225" t="str">
        <f ca="1">IFERROR(__xludf.DUMMYFUNCTION("JOIN ("", "", FILTER(I6:I198, J6:J198=""complex cases not considered""))"),"P15, P26, P36, P39")</f>
        <v>P15, P26, P36, P39</v>
      </c>
      <c r="F61" s="211"/>
      <c r="G61" s="211"/>
      <c r="H61" s="211"/>
      <c r="I61" s="225" t="s">
        <v>60</v>
      </c>
      <c r="J61" s="225" t="s">
        <v>1683</v>
      </c>
      <c r="K61" s="225"/>
      <c r="L61" s="249"/>
      <c r="M61" s="211"/>
      <c r="N61" s="215"/>
      <c r="O61" s="215"/>
      <c r="P61" s="215"/>
      <c r="Q61" s="215"/>
      <c r="R61" s="216"/>
    </row>
    <row r="62" spans="1:18" ht="28">
      <c r="A62" s="246"/>
      <c r="B62" s="246"/>
      <c r="C62" s="225" t="s">
        <v>2231</v>
      </c>
      <c r="D62" s="225">
        <f>COUNTIF(J6:J198,"Limited ML algorithms supported")</f>
        <v>12</v>
      </c>
      <c r="E62" s="225" t="str">
        <f ca="1">IFERROR(__xludf.DUMMYFUNCTION("JOIN ("", "", FILTER(I6:I198, J6:J198=""Limited ML algorithms supported""))"),"P5, P11, P17, P19, P22, P23, P30, P34, P36, P37, P44, P45")</f>
        <v>P5, P11, P17, P19, P22, P23, P30, P34, P36, P37, P44, P45</v>
      </c>
      <c r="F62" s="211"/>
      <c r="G62" s="211"/>
      <c r="H62" s="211"/>
      <c r="I62" s="225" t="s">
        <v>60</v>
      </c>
      <c r="J62" s="225" t="s">
        <v>1694</v>
      </c>
      <c r="K62" s="225" t="s">
        <v>1735</v>
      </c>
      <c r="L62" s="249"/>
      <c r="M62" s="211"/>
      <c r="N62" s="215"/>
      <c r="O62" s="215"/>
      <c r="P62" s="216"/>
      <c r="Q62" s="215"/>
      <c r="R62" s="216"/>
    </row>
    <row r="63" spans="1:18" ht="42">
      <c r="A63" s="246"/>
      <c r="B63" s="246"/>
      <c r="C63" s="211"/>
      <c r="D63" s="211"/>
      <c r="E63" s="211"/>
      <c r="F63" s="211"/>
      <c r="G63" s="211"/>
      <c r="H63" s="211"/>
      <c r="I63" s="225" t="s">
        <v>60</v>
      </c>
      <c r="J63" s="225" t="s">
        <v>1736</v>
      </c>
      <c r="K63" s="225" t="s">
        <v>1737</v>
      </c>
      <c r="L63" s="226" t="s">
        <v>1677</v>
      </c>
      <c r="M63" s="211"/>
      <c r="N63" s="215"/>
      <c r="O63" s="215"/>
      <c r="P63" s="216"/>
      <c r="Q63" s="215"/>
      <c r="R63" s="216"/>
    </row>
    <row r="64" spans="1:18" ht="14">
      <c r="A64" s="246"/>
      <c r="B64" s="246"/>
      <c r="C64" s="211"/>
      <c r="D64" s="211"/>
      <c r="E64" s="211"/>
      <c r="F64" s="211"/>
      <c r="G64" s="211"/>
      <c r="H64" s="211"/>
      <c r="I64" s="225" t="s">
        <v>60</v>
      </c>
      <c r="J64" s="225" t="s">
        <v>1634</v>
      </c>
      <c r="K64" s="225" t="s">
        <v>1738</v>
      </c>
      <c r="L64" s="226" t="s">
        <v>1705</v>
      </c>
      <c r="M64" s="211"/>
      <c r="N64" s="215"/>
      <c r="O64" s="215"/>
      <c r="P64" s="216"/>
      <c r="Q64" s="215"/>
      <c r="R64" s="216"/>
    </row>
    <row r="65" spans="1:18" ht="28">
      <c r="A65" s="246"/>
      <c r="B65" s="246"/>
      <c r="C65" s="211"/>
      <c r="D65" s="211"/>
      <c r="E65" s="211"/>
      <c r="F65" s="211"/>
      <c r="G65" s="211"/>
      <c r="H65" s="211"/>
      <c r="I65" s="225" t="s">
        <v>60</v>
      </c>
      <c r="J65" s="225" t="s">
        <v>1703</v>
      </c>
      <c r="K65" s="225" t="s">
        <v>1739</v>
      </c>
      <c r="L65" s="226"/>
      <c r="M65" s="211"/>
      <c r="N65" s="215"/>
      <c r="O65" s="215"/>
      <c r="P65" s="216"/>
      <c r="Q65" s="215"/>
      <c r="R65" s="216"/>
    </row>
    <row r="66" spans="1:18" ht="14">
      <c r="A66" s="246"/>
      <c r="B66" s="246"/>
      <c r="C66" s="211"/>
      <c r="D66" s="211"/>
      <c r="E66" s="211"/>
      <c r="F66" s="211"/>
      <c r="G66" s="211"/>
      <c r="H66" s="211"/>
      <c r="I66" s="225" t="s">
        <v>65</v>
      </c>
      <c r="J66" s="225" t="s">
        <v>1740</v>
      </c>
      <c r="K66" s="225" t="s">
        <v>1741</v>
      </c>
      <c r="L66" s="226" t="s">
        <v>1742</v>
      </c>
      <c r="M66" s="211"/>
      <c r="N66" s="215"/>
      <c r="O66" s="215"/>
      <c r="P66" s="216"/>
      <c r="Q66" s="215"/>
      <c r="R66" s="216"/>
    </row>
    <row r="67" spans="1:18" ht="14">
      <c r="A67" s="246"/>
      <c r="B67" s="246"/>
      <c r="C67" s="211"/>
      <c r="D67" s="211"/>
      <c r="E67" s="211"/>
      <c r="F67" s="211"/>
      <c r="G67" s="211"/>
      <c r="H67" s="211"/>
      <c r="I67" s="225" t="s">
        <v>65</v>
      </c>
      <c r="J67" s="225" t="s">
        <v>1683</v>
      </c>
      <c r="K67" s="225" t="s">
        <v>1744</v>
      </c>
      <c r="L67" s="226" t="s">
        <v>1677</v>
      </c>
      <c r="M67" s="211"/>
      <c r="N67" s="215"/>
      <c r="O67" s="215"/>
      <c r="P67" s="216"/>
      <c r="Q67" s="215"/>
      <c r="R67" s="216"/>
    </row>
    <row r="68" spans="1:18" ht="28">
      <c r="A68" s="246"/>
      <c r="B68" s="246"/>
      <c r="C68" s="211"/>
      <c r="D68" s="211"/>
      <c r="E68" s="211"/>
      <c r="F68" s="211"/>
      <c r="G68" s="211"/>
      <c r="H68" s="211"/>
      <c r="I68" s="225" t="s">
        <v>65</v>
      </c>
      <c r="J68" s="225" t="s">
        <v>1627</v>
      </c>
      <c r="K68" s="225" t="s">
        <v>1745</v>
      </c>
      <c r="L68" s="226" t="s">
        <v>1645</v>
      </c>
      <c r="M68" s="211"/>
      <c r="N68" s="215"/>
      <c r="O68" s="215"/>
      <c r="P68" s="216"/>
      <c r="Q68" s="215"/>
      <c r="R68" s="216"/>
    </row>
    <row r="69" spans="1:18" ht="14">
      <c r="A69" s="246"/>
      <c r="B69" s="246"/>
      <c r="C69" s="211"/>
      <c r="D69" s="211"/>
      <c r="E69" s="211"/>
      <c r="F69" s="211"/>
      <c r="G69" s="211"/>
      <c r="H69" s="211"/>
      <c r="I69" s="225" t="s">
        <v>65</v>
      </c>
      <c r="J69" s="225" t="s">
        <v>1694</v>
      </c>
      <c r="K69" s="225" t="s">
        <v>1747</v>
      </c>
      <c r="L69" s="226"/>
      <c r="M69" s="211"/>
      <c r="N69" s="215"/>
      <c r="O69" s="215"/>
      <c r="P69" s="216"/>
      <c r="Q69" s="215"/>
      <c r="R69" s="216"/>
    </row>
    <row r="70" spans="1:18" ht="14">
      <c r="A70" s="246"/>
      <c r="B70" s="246"/>
      <c r="C70" s="211"/>
      <c r="D70" s="211"/>
      <c r="E70" s="211"/>
      <c r="F70" s="211"/>
      <c r="G70" s="211"/>
      <c r="H70" s="211"/>
      <c r="I70" s="225" t="s">
        <v>65</v>
      </c>
      <c r="J70" s="225" t="s">
        <v>1748</v>
      </c>
      <c r="K70" s="225"/>
      <c r="L70" s="226"/>
      <c r="M70" s="211"/>
      <c r="N70" s="215"/>
      <c r="O70" s="215"/>
      <c r="P70" s="216"/>
      <c r="Q70" s="215"/>
      <c r="R70" s="215"/>
    </row>
    <row r="71" spans="1:18" ht="42">
      <c r="A71" s="246"/>
      <c r="B71" s="246"/>
      <c r="C71" s="211"/>
      <c r="D71" s="211"/>
      <c r="E71" s="211"/>
      <c r="F71" s="211"/>
      <c r="G71" s="211"/>
      <c r="H71" s="211"/>
      <c r="I71" s="225" t="s">
        <v>69</v>
      </c>
      <c r="J71" s="225" t="s">
        <v>1627</v>
      </c>
      <c r="K71" s="225" t="s">
        <v>1749</v>
      </c>
      <c r="L71" s="226" t="s">
        <v>1677</v>
      </c>
      <c r="M71" s="211"/>
      <c r="N71" s="215"/>
      <c r="O71" s="215"/>
      <c r="P71" s="215"/>
      <c r="Q71" s="215"/>
      <c r="R71" s="216"/>
    </row>
    <row r="72" spans="1:18" ht="14">
      <c r="A72" s="211"/>
      <c r="B72" s="211"/>
      <c r="C72" s="211"/>
      <c r="D72" s="211"/>
      <c r="E72" s="211"/>
      <c r="F72" s="211"/>
      <c r="G72" s="211"/>
      <c r="H72" s="211"/>
      <c r="I72" s="225" t="s">
        <v>69</v>
      </c>
      <c r="J72" s="225" t="s">
        <v>1694</v>
      </c>
      <c r="K72" s="225" t="s">
        <v>1750</v>
      </c>
      <c r="L72" s="226"/>
      <c r="M72" s="211"/>
      <c r="N72" s="215"/>
      <c r="O72" s="215"/>
      <c r="P72" s="216"/>
      <c r="Q72" s="215"/>
      <c r="R72" s="216"/>
    </row>
    <row r="73" spans="1:18" ht="14">
      <c r="A73" s="211"/>
      <c r="B73" s="211"/>
      <c r="C73" s="211"/>
      <c r="D73" s="211"/>
      <c r="E73" s="211"/>
      <c r="F73" s="211"/>
      <c r="G73" s="211"/>
      <c r="H73" s="211"/>
      <c r="I73" s="225" t="s">
        <v>69</v>
      </c>
      <c r="J73" s="225"/>
      <c r="K73" s="225" t="s">
        <v>1734</v>
      </c>
      <c r="L73" s="226" t="s">
        <v>1734</v>
      </c>
      <c r="M73" s="211"/>
      <c r="N73" s="215"/>
      <c r="O73" s="215"/>
      <c r="P73" s="215"/>
      <c r="Q73" s="215"/>
      <c r="R73" s="216"/>
    </row>
    <row r="74" spans="1:18" ht="14">
      <c r="A74" s="211"/>
      <c r="B74" s="211"/>
      <c r="C74" s="211"/>
      <c r="D74" s="211"/>
      <c r="E74" s="211"/>
      <c r="F74" s="211"/>
      <c r="G74" s="211"/>
      <c r="H74" s="211"/>
      <c r="I74" s="225" t="s">
        <v>72</v>
      </c>
      <c r="J74" s="225" t="s">
        <v>1703</v>
      </c>
      <c r="K74" s="225" t="s">
        <v>1751</v>
      </c>
      <c r="L74" s="226"/>
      <c r="M74" s="211"/>
      <c r="N74" s="215"/>
      <c r="O74" s="215"/>
      <c r="P74" s="215"/>
      <c r="Q74" s="215"/>
      <c r="R74" s="216"/>
    </row>
    <row r="75" spans="1:18" ht="14">
      <c r="A75" s="211"/>
      <c r="B75" s="211"/>
      <c r="C75" s="211"/>
      <c r="D75" s="211"/>
      <c r="E75" s="211"/>
      <c r="F75" s="211"/>
      <c r="G75" s="211"/>
      <c r="H75" s="211"/>
      <c r="I75" s="225" t="s">
        <v>72</v>
      </c>
      <c r="J75" s="225" t="s">
        <v>1627</v>
      </c>
      <c r="K75" s="225" t="s">
        <v>1752</v>
      </c>
      <c r="L75" s="226" t="s">
        <v>1753</v>
      </c>
      <c r="M75" s="211"/>
      <c r="N75" s="215"/>
      <c r="O75" s="215"/>
      <c r="P75" s="215"/>
      <c r="Q75" s="215"/>
      <c r="R75" s="216"/>
    </row>
    <row r="76" spans="1:18" ht="14">
      <c r="A76" s="211"/>
      <c r="B76" s="211"/>
      <c r="C76" s="211"/>
      <c r="D76" s="211"/>
      <c r="E76" s="211"/>
      <c r="F76" s="211"/>
      <c r="G76" s="211"/>
      <c r="H76" s="211"/>
      <c r="I76" s="225" t="s">
        <v>72</v>
      </c>
      <c r="J76" s="225" t="s">
        <v>1637</v>
      </c>
      <c r="K76" s="225" t="s">
        <v>1754</v>
      </c>
      <c r="L76" s="226" t="s">
        <v>1705</v>
      </c>
      <c r="M76" s="211"/>
      <c r="N76" s="215"/>
      <c r="O76" s="215"/>
      <c r="P76" s="216"/>
      <c r="Q76" s="215"/>
      <c r="R76" s="215"/>
    </row>
    <row r="77" spans="1:18" ht="14">
      <c r="A77" s="211"/>
      <c r="B77" s="211"/>
      <c r="C77" s="211"/>
      <c r="D77" s="211"/>
      <c r="E77" s="211"/>
      <c r="F77" s="211"/>
      <c r="G77" s="211"/>
      <c r="H77" s="211"/>
      <c r="I77" s="225" t="s">
        <v>72</v>
      </c>
      <c r="J77" s="225" t="s">
        <v>1694</v>
      </c>
      <c r="K77" s="225"/>
      <c r="L77" s="226"/>
      <c r="M77" s="211"/>
      <c r="N77" s="215"/>
      <c r="O77" s="215"/>
      <c r="P77" s="216"/>
      <c r="Q77" s="215"/>
      <c r="R77" s="216"/>
    </row>
    <row r="78" spans="1:18" ht="14">
      <c r="A78" s="211"/>
      <c r="B78" s="211"/>
      <c r="C78" s="211"/>
      <c r="D78" s="211"/>
      <c r="E78" s="211"/>
      <c r="F78" s="211"/>
      <c r="G78" s="211"/>
      <c r="H78" s="211"/>
      <c r="I78" s="225" t="s">
        <v>72</v>
      </c>
      <c r="J78" s="225" t="s">
        <v>1671</v>
      </c>
      <c r="K78" s="225"/>
      <c r="L78" s="226"/>
      <c r="M78" s="211"/>
      <c r="N78" s="215"/>
      <c r="O78" s="215"/>
      <c r="P78" s="216"/>
      <c r="Q78" s="215"/>
      <c r="R78" s="216"/>
    </row>
    <row r="79" spans="1:18" ht="14">
      <c r="A79" s="211"/>
      <c r="B79" s="211"/>
      <c r="C79" s="211"/>
      <c r="D79" s="211"/>
      <c r="E79" s="211"/>
      <c r="F79" s="211"/>
      <c r="G79" s="211"/>
      <c r="H79" s="211"/>
      <c r="I79" s="225" t="s">
        <v>75</v>
      </c>
      <c r="J79" s="250" t="s">
        <v>521</v>
      </c>
      <c r="K79" s="225" t="s">
        <v>1756</v>
      </c>
      <c r="L79" s="226" t="s">
        <v>1756</v>
      </c>
      <c r="M79" s="211"/>
      <c r="N79" s="215"/>
      <c r="O79" s="215"/>
      <c r="P79" s="215"/>
      <c r="Q79" s="215"/>
      <c r="R79" s="216"/>
    </row>
    <row r="80" spans="1:18" ht="14">
      <c r="A80" s="211"/>
      <c r="B80" s="211"/>
      <c r="C80" s="211"/>
      <c r="D80" s="211"/>
      <c r="E80" s="211"/>
      <c r="F80" s="211"/>
      <c r="G80" s="211"/>
      <c r="H80" s="211"/>
      <c r="I80" s="225" t="s">
        <v>75</v>
      </c>
      <c r="J80" s="251" t="s">
        <v>1615</v>
      </c>
      <c r="K80" s="225" t="s">
        <v>1757</v>
      </c>
      <c r="L80" s="226" t="s">
        <v>1677</v>
      </c>
      <c r="M80" s="211"/>
      <c r="N80" s="215"/>
      <c r="O80" s="215"/>
      <c r="P80" s="215"/>
      <c r="Q80" s="215"/>
      <c r="R80" s="215"/>
    </row>
    <row r="81" spans="1:18" ht="14">
      <c r="A81" s="211"/>
      <c r="B81" s="211"/>
      <c r="C81" s="211"/>
      <c r="D81" s="211"/>
      <c r="E81" s="211"/>
      <c r="F81" s="211"/>
      <c r="G81" s="211"/>
      <c r="H81" s="211"/>
      <c r="I81" s="225" t="s">
        <v>75</v>
      </c>
      <c r="J81" s="225" t="s">
        <v>1627</v>
      </c>
      <c r="K81" s="220"/>
      <c r="L81" s="226"/>
      <c r="M81" s="211"/>
      <c r="N81" s="215"/>
      <c r="O81" s="215"/>
      <c r="P81" s="215"/>
      <c r="Q81" s="215"/>
      <c r="R81" s="215"/>
    </row>
    <row r="82" spans="1:18" ht="14">
      <c r="A82" s="211"/>
      <c r="B82" s="211"/>
      <c r="C82" s="211"/>
      <c r="D82" s="211"/>
      <c r="E82" s="211"/>
      <c r="F82" s="211"/>
      <c r="G82" s="211"/>
      <c r="H82" s="211"/>
      <c r="I82" s="225" t="s">
        <v>75</v>
      </c>
      <c r="J82" s="225" t="s">
        <v>1694</v>
      </c>
      <c r="K82" s="220"/>
      <c r="L82" s="226"/>
      <c r="M82" s="211"/>
      <c r="N82" s="215"/>
      <c r="O82" s="215"/>
      <c r="P82" s="215"/>
      <c r="Q82" s="215"/>
      <c r="R82" s="215"/>
    </row>
    <row r="83" spans="1:18" ht="14">
      <c r="A83" s="211"/>
      <c r="B83" s="211"/>
      <c r="C83" s="211"/>
      <c r="D83" s="211"/>
      <c r="E83" s="211"/>
      <c r="F83" s="211"/>
      <c r="G83" s="211"/>
      <c r="H83" s="211"/>
      <c r="I83" s="251" t="s">
        <v>79</v>
      </c>
      <c r="J83" s="225" t="s">
        <v>1643</v>
      </c>
      <c r="K83" s="225" t="s">
        <v>1758</v>
      </c>
      <c r="L83" s="226" t="s">
        <v>1677</v>
      </c>
      <c r="M83" s="211"/>
      <c r="N83" s="215"/>
      <c r="O83" s="215"/>
      <c r="P83" s="215"/>
      <c r="Q83" s="215"/>
      <c r="R83" s="215"/>
    </row>
    <row r="84" spans="1:18" ht="28">
      <c r="A84" s="211"/>
      <c r="B84" s="211"/>
      <c r="C84" s="211"/>
      <c r="D84" s="211"/>
      <c r="E84" s="211"/>
      <c r="F84" s="211"/>
      <c r="G84" s="211"/>
      <c r="H84" s="211"/>
      <c r="I84" s="251" t="s">
        <v>79</v>
      </c>
      <c r="J84" s="225" t="s">
        <v>1671</v>
      </c>
      <c r="K84" s="225" t="s">
        <v>1759</v>
      </c>
      <c r="L84" s="226" t="s">
        <v>1705</v>
      </c>
      <c r="M84" s="211"/>
      <c r="N84" s="215"/>
      <c r="O84" s="215"/>
      <c r="P84" s="215"/>
      <c r="Q84" s="215"/>
      <c r="R84" s="215"/>
    </row>
    <row r="85" spans="1:18" ht="14">
      <c r="A85" s="211"/>
      <c r="B85" s="211"/>
      <c r="C85" s="211"/>
      <c r="D85" s="211"/>
      <c r="F85" s="211"/>
      <c r="G85" s="211"/>
      <c r="H85" s="211"/>
      <c r="I85" s="251" t="s">
        <v>79</v>
      </c>
      <c r="J85" s="225" t="s">
        <v>1627</v>
      </c>
      <c r="K85" s="220"/>
      <c r="L85" s="226"/>
      <c r="M85" s="211"/>
      <c r="N85" s="215"/>
      <c r="O85" s="215"/>
      <c r="P85" s="215"/>
      <c r="Q85" s="215"/>
      <c r="R85" s="215"/>
    </row>
    <row r="86" spans="1:18" ht="13">
      <c r="A86" s="211"/>
      <c r="B86" s="211"/>
      <c r="C86" s="211"/>
      <c r="D86" s="211"/>
      <c r="F86" s="211"/>
      <c r="G86" s="211"/>
      <c r="H86" s="211"/>
      <c r="I86" s="251" t="s">
        <v>79</v>
      </c>
      <c r="J86" s="251" t="s">
        <v>1619</v>
      </c>
      <c r="K86" s="220"/>
      <c r="L86" s="226"/>
      <c r="M86" s="211"/>
      <c r="N86" s="215"/>
      <c r="O86" s="215"/>
      <c r="P86" s="216"/>
      <c r="Q86" s="215"/>
      <c r="R86" s="216"/>
    </row>
    <row r="87" spans="1:18" ht="28">
      <c r="A87" s="211"/>
      <c r="B87" s="211"/>
      <c r="C87" s="211"/>
      <c r="D87" s="211"/>
      <c r="F87" s="211"/>
      <c r="G87" s="211"/>
      <c r="H87" s="211"/>
      <c r="I87" s="251" t="s">
        <v>84</v>
      </c>
      <c r="J87" s="251" t="s">
        <v>1683</v>
      </c>
      <c r="K87" s="225" t="s">
        <v>1760</v>
      </c>
      <c r="L87" s="226" t="s">
        <v>1677</v>
      </c>
      <c r="M87" s="211"/>
      <c r="N87" s="215"/>
      <c r="O87" s="215"/>
      <c r="P87" s="216"/>
      <c r="Q87" s="215"/>
      <c r="R87" s="216"/>
    </row>
    <row r="88" spans="1:18" ht="14">
      <c r="A88" s="211"/>
      <c r="B88" s="211"/>
      <c r="C88" s="211"/>
      <c r="D88" s="211"/>
      <c r="F88" s="211"/>
      <c r="G88" s="211"/>
      <c r="H88" s="211"/>
      <c r="I88" s="251" t="s">
        <v>84</v>
      </c>
      <c r="J88" s="225" t="s">
        <v>1643</v>
      </c>
      <c r="K88" s="225" t="s">
        <v>1761</v>
      </c>
      <c r="L88" s="226" t="s">
        <v>1705</v>
      </c>
      <c r="M88" s="211"/>
      <c r="N88" s="215"/>
      <c r="O88" s="215"/>
      <c r="P88" s="216"/>
      <c r="Q88" s="215"/>
      <c r="R88" s="216"/>
    </row>
    <row r="89" spans="1:18" ht="14">
      <c r="A89" s="211"/>
      <c r="B89" s="211"/>
      <c r="C89" s="211"/>
      <c r="D89" s="211"/>
      <c r="F89" s="211"/>
      <c r="G89" s="211"/>
      <c r="H89" s="211"/>
      <c r="I89" s="251" t="s">
        <v>84</v>
      </c>
      <c r="J89" s="225" t="s">
        <v>1615</v>
      </c>
      <c r="K89" s="251" t="s">
        <v>1762</v>
      </c>
      <c r="L89" s="251" t="s">
        <v>1762</v>
      </c>
      <c r="M89" s="211"/>
      <c r="N89" s="215"/>
      <c r="O89" s="215"/>
      <c r="P89" s="216"/>
      <c r="Q89" s="215"/>
      <c r="R89" s="216"/>
    </row>
    <row r="90" spans="1:18" ht="14">
      <c r="A90" s="211"/>
      <c r="B90" s="211"/>
      <c r="C90" s="211"/>
      <c r="D90" s="211"/>
      <c r="F90" s="211"/>
      <c r="G90" s="211"/>
      <c r="H90" s="211"/>
      <c r="I90" s="251" t="s">
        <v>84</v>
      </c>
      <c r="J90" s="225" t="s">
        <v>1627</v>
      </c>
      <c r="K90" s="225"/>
      <c r="L90" s="226"/>
      <c r="M90" s="211"/>
      <c r="N90" s="215"/>
      <c r="O90" s="215"/>
      <c r="P90" s="216"/>
      <c r="Q90" s="215"/>
      <c r="R90" s="216"/>
    </row>
    <row r="91" spans="1:18" ht="28">
      <c r="A91" s="211"/>
      <c r="B91" s="211"/>
      <c r="C91" s="211"/>
      <c r="D91" s="211"/>
      <c r="F91" s="211"/>
      <c r="G91" s="211"/>
      <c r="H91" s="211"/>
      <c r="I91" s="251" t="s">
        <v>87</v>
      </c>
      <c r="J91" s="225" t="s">
        <v>1655</v>
      </c>
      <c r="K91" s="225" t="s">
        <v>1763</v>
      </c>
      <c r="L91" s="226" t="s">
        <v>1621</v>
      </c>
      <c r="M91" s="211"/>
      <c r="N91" s="215"/>
      <c r="O91" s="215"/>
      <c r="P91" s="216"/>
      <c r="Q91" s="215"/>
      <c r="R91" s="216"/>
    </row>
    <row r="92" spans="1:18" ht="14">
      <c r="A92" s="211"/>
      <c r="B92" s="211"/>
      <c r="C92" s="211"/>
      <c r="D92" s="211"/>
      <c r="F92" s="211"/>
      <c r="G92" s="211"/>
      <c r="H92" s="211"/>
      <c r="I92" s="251" t="s">
        <v>87</v>
      </c>
      <c r="J92" s="225" t="s">
        <v>1748</v>
      </c>
      <c r="K92" s="225"/>
      <c r="L92" s="226"/>
      <c r="M92" s="211"/>
      <c r="N92" s="215"/>
      <c r="O92" s="215"/>
      <c r="P92" s="215"/>
      <c r="Q92" s="215"/>
      <c r="R92" s="216"/>
    </row>
    <row r="93" spans="1:18" ht="14">
      <c r="A93" s="211"/>
      <c r="B93" s="211"/>
      <c r="C93" s="211"/>
      <c r="D93" s="211"/>
      <c r="F93" s="211"/>
      <c r="G93" s="211"/>
      <c r="H93" s="211"/>
      <c r="I93" s="251" t="s">
        <v>87</v>
      </c>
      <c r="J93" s="225" t="s">
        <v>521</v>
      </c>
      <c r="K93" s="225"/>
      <c r="L93" s="226"/>
      <c r="M93" s="211"/>
      <c r="N93" s="215"/>
      <c r="O93" s="215"/>
      <c r="P93" s="216"/>
      <c r="Q93" s="215"/>
      <c r="R93" s="216"/>
    </row>
    <row r="94" spans="1:18" ht="14">
      <c r="A94" s="211"/>
      <c r="B94" s="211"/>
      <c r="C94" s="211"/>
      <c r="D94" s="211"/>
      <c r="F94" s="211"/>
      <c r="G94" s="211"/>
      <c r="H94" s="211"/>
      <c r="I94" s="251" t="s">
        <v>87</v>
      </c>
      <c r="J94" s="225" t="s">
        <v>1627</v>
      </c>
      <c r="K94" s="225"/>
      <c r="L94" s="226"/>
      <c r="M94" s="211"/>
      <c r="N94" s="215"/>
      <c r="O94" s="215"/>
      <c r="P94" s="216"/>
      <c r="Q94" s="215"/>
      <c r="R94" s="215"/>
    </row>
    <row r="95" spans="1:18" ht="14">
      <c r="A95" s="211"/>
      <c r="B95" s="211"/>
      <c r="C95" s="211"/>
      <c r="D95" s="211"/>
      <c r="F95" s="211"/>
      <c r="G95" s="211"/>
      <c r="H95" s="211"/>
      <c r="I95" s="251" t="s">
        <v>91</v>
      </c>
      <c r="J95" s="225" t="s">
        <v>1627</v>
      </c>
      <c r="K95" s="225"/>
      <c r="L95" s="226"/>
      <c r="M95" s="211"/>
      <c r="N95" s="215"/>
      <c r="O95" s="215"/>
      <c r="P95" s="216"/>
      <c r="Q95" s="215"/>
      <c r="R95" s="216"/>
    </row>
    <row r="96" spans="1:18" ht="14">
      <c r="A96" s="211"/>
      <c r="B96" s="211"/>
      <c r="C96" s="211"/>
      <c r="D96" s="211"/>
      <c r="F96" s="211"/>
      <c r="G96" s="211"/>
      <c r="H96" s="211"/>
      <c r="I96" s="251" t="s">
        <v>91</v>
      </c>
      <c r="J96" s="225" t="s">
        <v>1637</v>
      </c>
      <c r="K96" s="225"/>
      <c r="L96" s="226"/>
      <c r="M96" s="211"/>
      <c r="N96" s="215"/>
      <c r="O96" s="215"/>
      <c r="P96" s="216"/>
      <c r="Q96" s="215"/>
      <c r="R96" s="216"/>
    </row>
    <row r="97" spans="1:18" ht="14">
      <c r="A97" s="211"/>
      <c r="B97" s="211"/>
      <c r="C97" s="211"/>
      <c r="D97" s="211"/>
      <c r="F97" s="211"/>
      <c r="G97" s="211"/>
      <c r="H97" s="211"/>
      <c r="I97" s="251" t="s">
        <v>91</v>
      </c>
      <c r="J97" s="225" t="s">
        <v>1615</v>
      </c>
      <c r="K97" s="225"/>
      <c r="L97" s="226"/>
      <c r="M97" s="211"/>
      <c r="N97" s="215"/>
      <c r="O97" s="215"/>
      <c r="P97" s="216"/>
      <c r="Q97" s="215"/>
      <c r="R97" s="215"/>
    </row>
    <row r="98" spans="1:18" ht="14">
      <c r="A98" s="211"/>
      <c r="B98" s="211"/>
      <c r="C98" s="211"/>
      <c r="D98" s="211"/>
      <c r="F98" s="211"/>
      <c r="G98" s="211"/>
      <c r="H98" s="211"/>
      <c r="I98" s="251" t="s">
        <v>91</v>
      </c>
      <c r="J98" s="225" t="s">
        <v>1643</v>
      </c>
      <c r="K98" s="225" t="s">
        <v>1766</v>
      </c>
      <c r="L98" s="226" t="s">
        <v>1677</v>
      </c>
      <c r="M98" s="211"/>
      <c r="N98" s="215"/>
      <c r="O98" s="215"/>
      <c r="P98" s="216"/>
      <c r="Q98" s="215"/>
      <c r="R98" s="215"/>
    </row>
    <row r="99" spans="1:18" ht="28">
      <c r="A99" s="211"/>
      <c r="B99" s="211"/>
      <c r="C99" s="211"/>
      <c r="D99" s="211"/>
      <c r="F99" s="211"/>
      <c r="G99" s="211"/>
      <c r="H99" s="211"/>
      <c r="I99" s="251" t="s">
        <v>91</v>
      </c>
      <c r="J99" s="230" t="s">
        <v>1703</v>
      </c>
      <c r="K99" s="225" t="s">
        <v>1767</v>
      </c>
      <c r="L99" s="226"/>
      <c r="M99" s="211"/>
      <c r="N99" s="215"/>
      <c r="O99" s="215"/>
      <c r="P99" s="215"/>
      <c r="Q99" s="215"/>
      <c r="R99" s="216"/>
    </row>
    <row r="100" spans="1:18" ht="28">
      <c r="A100" s="211"/>
      <c r="B100" s="211"/>
      <c r="C100" s="211"/>
      <c r="D100" s="211"/>
      <c r="F100" s="211"/>
      <c r="G100" s="211"/>
      <c r="H100" s="211"/>
      <c r="I100" s="251" t="s">
        <v>91</v>
      </c>
      <c r="J100" s="225" t="s">
        <v>1671</v>
      </c>
      <c r="K100" s="225" t="s">
        <v>1768</v>
      </c>
      <c r="L100" s="245" t="s">
        <v>1685</v>
      </c>
      <c r="M100" s="211"/>
      <c r="N100" s="215"/>
      <c r="O100" s="215"/>
      <c r="P100" s="216"/>
      <c r="Q100" s="215"/>
      <c r="R100" s="216"/>
    </row>
    <row r="101" spans="1:18" ht="28">
      <c r="A101" s="211"/>
      <c r="B101" s="211"/>
      <c r="C101" s="211"/>
      <c r="D101" s="211"/>
      <c r="F101" s="211"/>
      <c r="G101" s="211"/>
      <c r="H101" s="211"/>
      <c r="I101" s="251" t="s">
        <v>91</v>
      </c>
      <c r="J101" s="225" t="s">
        <v>1634</v>
      </c>
      <c r="K101" s="225" t="s">
        <v>1769</v>
      </c>
      <c r="L101" s="226" t="s">
        <v>1689</v>
      </c>
      <c r="M101" s="211"/>
      <c r="N101" s="215"/>
      <c r="O101" s="215"/>
      <c r="P101" s="216"/>
      <c r="Q101" s="215"/>
      <c r="R101" s="216"/>
    </row>
    <row r="102" spans="1:18" ht="13">
      <c r="A102" s="211"/>
      <c r="B102" s="211"/>
      <c r="C102" s="211"/>
      <c r="D102" s="10"/>
      <c r="F102" s="211"/>
      <c r="G102" s="211"/>
      <c r="H102" s="211"/>
      <c r="I102" s="251" t="s">
        <v>95</v>
      </c>
      <c r="J102" s="251"/>
      <c r="K102" s="225"/>
      <c r="L102" s="226"/>
      <c r="M102" s="211"/>
      <c r="N102" s="215"/>
      <c r="O102" s="215"/>
      <c r="P102" s="216"/>
      <c r="Q102" s="215"/>
      <c r="R102" s="216"/>
    </row>
    <row r="103" spans="1:18" ht="28">
      <c r="A103" s="211"/>
      <c r="B103" s="211"/>
      <c r="C103" s="211"/>
      <c r="D103" s="10"/>
      <c r="F103" s="211"/>
      <c r="G103" s="211"/>
      <c r="H103" s="211"/>
      <c r="I103" s="251" t="s">
        <v>95</v>
      </c>
      <c r="J103" s="225" t="s">
        <v>1627</v>
      </c>
      <c r="K103" s="225" t="s">
        <v>1770</v>
      </c>
      <c r="L103" s="226" t="s">
        <v>1705</v>
      </c>
      <c r="M103" s="211"/>
      <c r="N103" s="215"/>
      <c r="O103" s="215"/>
      <c r="P103" s="216"/>
      <c r="Q103" s="215"/>
      <c r="R103" s="216"/>
    </row>
    <row r="104" spans="1:18" ht="28">
      <c r="A104" s="211"/>
      <c r="B104" s="211"/>
      <c r="C104" s="7"/>
      <c r="D104" s="10"/>
      <c r="F104" s="211"/>
      <c r="G104" s="211"/>
      <c r="H104" s="211"/>
      <c r="I104" s="251" t="s">
        <v>95</v>
      </c>
      <c r="J104" s="225" t="s">
        <v>1671</v>
      </c>
      <c r="K104" s="225" t="s">
        <v>1771</v>
      </c>
      <c r="L104" s="245" t="s">
        <v>1685</v>
      </c>
      <c r="M104" s="211"/>
      <c r="N104" s="215"/>
      <c r="O104" s="215"/>
      <c r="P104" s="216"/>
      <c r="Q104" s="215"/>
      <c r="R104" s="216"/>
    </row>
    <row r="105" spans="1:18" ht="14">
      <c r="A105" s="211"/>
      <c r="B105" s="211"/>
      <c r="C105" s="7"/>
      <c r="D105" s="10"/>
      <c r="F105" s="211"/>
      <c r="G105" s="211"/>
      <c r="H105" s="211"/>
      <c r="I105" s="251" t="s">
        <v>98</v>
      </c>
      <c r="J105" s="225" t="s">
        <v>1728</v>
      </c>
      <c r="K105" s="225" t="s">
        <v>1761</v>
      </c>
      <c r="L105" s="226" t="s">
        <v>1705</v>
      </c>
      <c r="M105" s="211"/>
      <c r="N105" s="215"/>
      <c r="O105" s="215"/>
      <c r="P105" s="216"/>
      <c r="Q105" s="215"/>
      <c r="R105" s="215"/>
    </row>
    <row r="106" spans="1:18" ht="14">
      <c r="A106" s="211"/>
      <c r="B106" s="211"/>
      <c r="C106" s="7"/>
      <c r="D106" s="10"/>
      <c r="F106" s="211"/>
      <c r="G106" s="211"/>
      <c r="H106" s="211"/>
      <c r="I106" s="251" t="s">
        <v>98</v>
      </c>
      <c r="J106" s="251" t="s">
        <v>1637</v>
      </c>
      <c r="K106" s="225" t="s">
        <v>1772</v>
      </c>
      <c r="L106" s="226" t="s">
        <v>1677</v>
      </c>
      <c r="M106" s="211"/>
      <c r="N106" s="215"/>
      <c r="O106" s="215"/>
      <c r="P106" s="216"/>
      <c r="Q106" s="215"/>
      <c r="R106" s="215"/>
    </row>
    <row r="107" spans="1:18" ht="14">
      <c r="A107" s="211"/>
      <c r="B107" s="211"/>
      <c r="C107" s="7"/>
      <c r="D107" s="10"/>
      <c r="F107" s="211"/>
      <c r="G107" s="211"/>
      <c r="H107" s="211"/>
      <c r="I107" s="251" t="s">
        <v>98</v>
      </c>
      <c r="J107" s="251" t="s">
        <v>1615</v>
      </c>
      <c r="K107" s="225" t="s">
        <v>1773</v>
      </c>
      <c r="L107" s="226" t="s">
        <v>1629</v>
      </c>
      <c r="M107" s="211"/>
      <c r="N107" s="215"/>
      <c r="O107" s="215"/>
      <c r="P107" s="216"/>
      <c r="Q107" s="215"/>
      <c r="R107" s="216"/>
    </row>
    <row r="108" spans="1:18" ht="14">
      <c r="A108" s="211"/>
      <c r="B108" s="211"/>
      <c r="C108" s="7"/>
      <c r="D108" s="10"/>
      <c r="F108" s="211"/>
      <c r="G108" s="211"/>
      <c r="H108" s="211"/>
      <c r="I108" s="251" t="s">
        <v>98</v>
      </c>
      <c r="J108" s="225" t="s">
        <v>1643</v>
      </c>
      <c r="K108" s="225"/>
      <c r="L108" s="226"/>
      <c r="M108" s="211"/>
      <c r="N108" s="215"/>
      <c r="O108" s="215"/>
      <c r="P108" s="215"/>
      <c r="Q108" s="215"/>
      <c r="R108" s="215"/>
    </row>
    <row r="109" spans="1:18" ht="14">
      <c r="A109" s="211"/>
      <c r="B109" s="211"/>
      <c r="C109" s="7"/>
      <c r="D109" s="10"/>
      <c r="I109" s="251" t="s">
        <v>98</v>
      </c>
      <c r="J109" s="225" t="s">
        <v>1627</v>
      </c>
      <c r="K109" s="225" t="s">
        <v>1774</v>
      </c>
      <c r="L109" s="225" t="s">
        <v>1774</v>
      </c>
      <c r="M109" s="211"/>
      <c r="N109" s="215"/>
      <c r="O109" s="215"/>
      <c r="P109" s="215"/>
      <c r="Q109" s="215"/>
      <c r="R109" s="216"/>
    </row>
    <row r="110" spans="1:18" ht="28">
      <c r="A110" s="211"/>
      <c r="B110" s="211"/>
      <c r="C110" s="7"/>
      <c r="D110" s="10"/>
      <c r="I110" s="251" t="s">
        <v>102</v>
      </c>
      <c r="J110" s="225"/>
      <c r="K110" s="225" t="s">
        <v>1775</v>
      </c>
      <c r="L110" s="226" t="s">
        <v>1677</v>
      </c>
      <c r="M110" s="211"/>
      <c r="N110" s="215"/>
      <c r="O110" s="215"/>
      <c r="P110" s="216"/>
      <c r="Q110" s="215"/>
      <c r="R110" s="216"/>
    </row>
    <row r="111" spans="1:18" ht="28">
      <c r="A111" s="211"/>
      <c r="B111" s="211"/>
      <c r="C111" s="7"/>
      <c r="D111" s="10"/>
      <c r="I111" s="251" t="s">
        <v>102</v>
      </c>
      <c r="J111" s="251" t="s">
        <v>1694</v>
      </c>
      <c r="K111" s="225" t="s">
        <v>1776</v>
      </c>
      <c r="L111" s="226" t="s">
        <v>1777</v>
      </c>
      <c r="M111" s="211"/>
      <c r="N111" s="215"/>
      <c r="O111" s="215"/>
      <c r="P111" s="215"/>
      <c r="Q111" s="215"/>
      <c r="R111" s="215"/>
    </row>
    <row r="112" spans="1:18" ht="28">
      <c r="A112" s="211"/>
      <c r="B112" s="211"/>
      <c r="C112" s="7"/>
      <c r="D112" s="10"/>
      <c r="I112" s="251" t="s">
        <v>102</v>
      </c>
      <c r="J112" s="225" t="s">
        <v>1728</v>
      </c>
      <c r="K112" s="225" t="s">
        <v>1778</v>
      </c>
      <c r="L112" s="226"/>
      <c r="M112" s="211"/>
      <c r="N112" s="215"/>
      <c r="O112" s="215"/>
      <c r="P112" s="215"/>
      <c r="Q112" s="215"/>
      <c r="R112" s="215"/>
    </row>
    <row r="113" spans="1:18" ht="13">
      <c r="A113" s="211"/>
      <c r="B113" s="211"/>
      <c r="C113" s="7"/>
      <c r="D113" s="10"/>
      <c r="I113" s="251" t="s">
        <v>102</v>
      </c>
      <c r="J113" s="251" t="s">
        <v>1627</v>
      </c>
      <c r="K113" s="225"/>
      <c r="L113" s="226"/>
      <c r="N113" s="215"/>
      <c r="O113" s="215"/>
      <c r="P113" s="215"/>
      <c r="Q113" s="215"/>
      <c r="R113" s="215"/>
    </row>
    <row r="114" spans="1:18" ht="14">
      <c r="A114" s="211"/>
      <c r="B114" s="211"/>
      <c r="C114" s="7"/>
      <c r="D114" s="10"/>
      <c r="I114" s="251" t="s">
        <v>106</v>
      </c>
      <c r="J114" s="251" t="s">
        <v>521</v>
      </c>
      <c r="K114" s="225" t="s">
        <v>1047</v>
      </c>
      <c r="L114" s="226"/>
      <c r="N114" s="215"/>
      <c r="O114" s="215"/>
      <c r="P114" s="216"/>
      <c r="Q114" s="215"/>
      <c r="R114" s="215"/>
    </row>
    <row r="115" spans="1:18" ht="13">
      <c r="C115" s="7"/>
      <c r="D115" s="10"/>
      <c r="I115" s="251" t="s">
        <v>106</v>
      </c>
      <c r="J115" s="251" t="s">
        <v>1627</v>
      </c>
      <c r="K115" s="225"/>
      <c r="L115" s="226"/>
      <c r="N115" s="215"/>
      <c r="O115" s="215"/>
      <c r="P115" s="215"/>
      <c r="Q115" s="215"/>
      <c r="R115" s="216"/>
    </row>
    <row r="116" spans="1:18" ht="13">
      <c r="C116" s="10"/>
      <c r="D116" s="10"/>
      <c r="I116" s="251" t="s">
        <v>106</v>
      </c>
      <c r="J116" s="251" t="s">
        <v>1740</v>
      </c>
      <c r="K116" s="225"/>
      <c r="L116" s="226"/>
      <c r="N116" s="215"/>
      <c r="O116" s="215"/>
      <c r="P116" s="216"/>
      <c r="Q116" s="215"/>
      <c r="R116" s="216"/>
    </row>
    <row r="117" spans="1:18" ht="14">
      <c r="C117" s="10"/>
      <c r="D117" s="10"/>
      <c r="I117" s="251" t="s">
        <v>106</v>
      </c>
      <c r="J117" s="225" t="s">
        <v>1779</v>
      </c>
      <c r="K117" s="225"/>
      <c r="L117" s="226"/>
      <c r="N117" s="215"/>
      <c r="O117" s="215"/>
      <c r="P117" s="215"/>
      <c r="Q117" s="215"/>
      <c r="R117" s="215"/>
    </row>
    <row r="118" spans="1:18" ht="14">
      <c r="C118" s="10"/>
      <c r="D118" s="10"/>
      <c r="I118" s="251" t="s">
        <v>110</v>
      </c>
      <c r="J118" s="250" t="s">
        <v>1728</v>
      </c>
      <c r="K118" s="225" t="s">
        <v>1780</v>
      </c>
      <c r="L118" s="226" t="s">
        <v>1734</v>
      </c>
      <c r="N118" s="215"/>
      <c r="O118" s="215"/>
      <c r="P118" s="216"/>
      <c r="Q118" s="215"/>
      <c r="R118" s="216"/>
    </row>
    <row r="119" spans="1:18" ht="28">
      <c r="C119" s="7"/>
      <c r="D119" s="10"/>
      <c r="I119" s="251" t="s">
        <v>110</v>
      </c>
      <c r="J119" s="251" t="s">
        <v>1615</v>
      </c>
      <c r="K119" s="225" t="s">
        <v>1781</v>
      </c>
      <c r="L119" s="226" t="s">
        <v>1621</v>
      </c>
      <c r="N119" s="215"/>
      <c r="O119" s="215"/>
      <c r="P119" s="215"/>
      <c r="Q119" s="215"/>
      <c r="R119" s="216"/>
    </row>
    <row r="120" spans="1:18" ht="13">
      <c r="C120" s="7"/>
      <c r="D120" s="10"/>
      <c r="I120" s="251" t="s">
        <v>110</v>
      </c>
      <c r="J120" s="251" t="s">
        <v>1637</v>
      </c>
      <c r="K120" s="225"/>
      <c r="L120" s="226"/>
      <c r="N120" s="215"/>
      <c r="O120" s="215"/>
      <c r="P120" s="215"/>
      <c r="Q120" s="215"/>
      <c r="R120" s="215"/>
    </row>
    <row r="121" spans="1:18" ht="14">
      <c r="C121" s="7"/>
      <c r="D121" s="10"/>
      <c r="I121" s="251" t="s">
        <v>110</v>
      </c>
      <c r="J121" s="225" t="s">
        <v>1782</v>
      </c>
      <c r="K121" s="225"/>
      <c r="L121" s="226"/>
      <c r="N121" s="215"/>
      <c r="O121" s="215"/>
      <c r="P121" s="215"/>
      <c r="Q121" s="215"/>
      <c r="R121" s="216"/>
    </row>
    <row r="122" spans="1:18" ht="13">
      <c r="C122" s="7"/>
      <c r="D122" s="10"/>
      <c r="I122" s="251" t="s">
        <v>110</v>
      </c>
      <c r="J122" s="250" t="s">
        <v>1779</v>
      </c>
      <c r="K122" s="225"/>
      <c r="L122" s="226"/>
      <c r="N122" s="215"/>
      <c r="O122" s="215"/>
      <c r="P122" s="215"/>
      <c r="Q122" s="215"/>
      <c r="R122" s="216"/>
    </row>
    <row r="123" spans="1:18" ht="14">
      <c r="C123" s="11"/>
      <c r="D123" s="10"/>
      <c r="I123" s="251" t="s">
        <v>114</v>
      </c>
      <c r="J123" s="251" t="s">
        <v>1783</v>
      </c>
      <c r="K123" s="225" t="s">
        <v>1784</v>
      </c>
      <c r="L123" s="226" t="s">
        <v>1753</v>
      </c>
      <c r="N123" s="215"/>
      <c r="O123" s="215"/>
      <c r="P123" s="215"/>
      <c r="Q123" s="215"/>
      <c r="R123" s="215"/>
    </row>
    <row r="124" spans="1:18" ht="14">
      <c r="C124" s="7"/>
      <c r="D124" s="10"/>
      <c r="I124" s="251" t="s">
        <v>114</v>
      </c>
      <c r="J124" s="225" t="s">
        <v>1779</v>
      </c>
      <c r="K124" s="225" t="s">
        <v>1785</v>
      </c>
      <c r="L124" s="226" t="s">
        <v>1677</v>
      </c>
      <c r="N124" s="215"/>
      <c r="O124" s="215"/>
      <c r="P124" s="216"/>
      <c r="Q124" s="215"/>
      <c r="R124" s="216"/>
    </row>
    <row r="125" spans="1:18" ht="13">
      <c r="C125" s="7"/>
      <c r="D125" s="10"/>
      <c r="I125" s="251" t="s">
        <v>114</v>
      </c>
      <c r="J125" s="251" t="s">
        <v>1627</v>
      </c>
      <c r="K125" s="225"/>
      <c r="L125" s="226"/>
      <c r="N125" s="215"/>
      <c r="O125" s="215"/>
      <c r="P125" s="215"/>
      <c r="Q125" s="215"/>
      <c r="R125" s="215"/>
    </row>
    <row r="126" spans="1:18" ht="13">
      <c r="C126" s="7"/>
      <c r="D126" s="10"/>
      <c r="I126" s="251" t="s">
        <v>114</v>
      </c>
      <c r="J126" s="251" t="s">
        <v>1615</v>
      </c>
      <c r="K126" s="225"/>
      <c r="L126" s="226"/>
      <c r="N126" s="215"/>
      <c r="O126" s="215"/>
      <c r="P126" s="215"/>
      <c r="Q126" s="215"/>
      <c r="R126" s="216"/>
    </row>
    <row r="127" spans="1:18" ht="13">
      <c r="A127" s="10"/>
      <c r="B127" s="10"/>
      <c r="C127" s="7"/>
      <c r="D127" s="10"/>
      <c r="I127" s="251" t="s">
        <v>114</v>
      </c>
      <c r="J127" s="251" t="s">
        <v>1637</v>
      </c>
      <c r="K127" s="225"/>
      <c r="L127" s="226"/>
      <c r="N127" s="215"/>
      <c r="O127" s="215"/>
      <c r="P127" s="215"/>
      <c r="Q127" s="215"/>
      <c r="R127" s="216"/>
    </row>
    <row r="128" spans="1:18" ht="13">
      <c r="A128" s="10"/>
      <c r="B128" s="10"/>
      <c r="C128" s="7"/>
      <c r="D128" s="10"/>
      <c r="I128" s="251" t="s">
        <v>114</v>
      </c>
      <c r="J128" s="251" t="s">
        <v>1694</v>
      </c>
      <c r="K128" s="225"/>
      <c r="L128" s="226"/>
      <c r="N128" s="215"/>
      <c r="O128" s="215"/>
      <c r="P128" s="216"/>
      <c r="Q128" s="215"/>
      <c r="R128" s="216"/>
    </row>
    <row r="129" spans="1:18" ht="13">
      <c r="A129" s="10"/>
      <c r="B129" s="10"/>
      <c r="C129" s="7"/>
      <c r="D129" s="10"/>
      <c r="I129" s="251" t="s">
        <v>119</v>
      </c>
      <c r="J129" s="251" t="s">
        <v>1683</v>
      </c>
      <c r="K129" s="225"/>
      <c r="L129" s="226"/>
      <c r="N129" s="215"/>
      <c r="O129" s="215"/>
      <c r="P129" s="215"/>
      <c r="Q129" s="215"/>
      <c r="R129" s="216"/>
    </row>
    <row r="130" spans="1:18" ht="14">
      <c r="C130" s="7"/>
      <c r="D130" s="10"/>
      <c r="I130" s="251" t="s">
        <v>119</v>
      </c>
      <c r="J130" s="251" t="s">
        <v>1779</v>
      </c>
      <c r="K130" s="225" t="s">
        <v>1047</v>
      </c>
      <c r="L130" s="226"/>
      <c r="N130" s="215"/>
      <c r="O130" s="215"/>
      <c r="P130" s="216"/>
      <c r="Q130" s="215"/>
      <c r="R130" s="216"/>
    </row>
    <row r="131" spans="1:18" ht="13">
      <c r="C131" s="7"/>
      <c r="D131" s="10"/>
      <c r="I131" s="251" t="s">
        <v>119</v>
      </c>
      <c r="J131" s="251" t="s">
        <v>1627</v>
      </c>
      <c r="K131" s="225"/>
      <c r="L131" s="226"/>
      <c r="N131" s="215"/>
      <c r="O131" s="215"/>
      <c r="P131" s="215"/>
      <c r="Q131" s="215"/>
      <c r="R131" s="216"/>
    </row>
    <row r="132" spans="1:18" ht="14">
      <c r="C132" s="7"/>
      <c r="D132" s="10"/>
      <c r="I132" s="251" t="s">
        <v>124</v>
      </c>
      <c r="J132" s="251" t="s">
        <v>1637</v>
      </c>
      <c r="K132" s="225" t="s">
        <v>1784</v>
      </c>
      <c r="L132" s="226" t="s">
        <v>1753</v>
      </c>
      <c r="N132" s="215"/>
      <c r="O132" s="215"/>
      <c r="P132" s="216"/>
      <c r="Q132" s="215"/>
      <c r="R132" s="216"/>
    </row>
    <row r="133" spans="1:18" ht="28">
      <c r="C133" s="7"/>
      <c r="I133" s="251" t="s">
        <v>124</v>
      </c>
      <c r="J133" s="251" t="s">
        <v>1627</v>
      </c>
      <c r="K133" s="225" t="s">
        <v>1786</v>
      </c>
      <c r="L133" s="245" t="s">
        <v>1685</v>
      </c>
      <c r="N133" s="215"/>
      <c r="O133" s="215"/>
      <c r="P133" s="215"/>
      <c r="Q133" s="215"/>
      <c r="R133" s="216"/>
    </row>
    <row r="134" spans="1:18" ht="13">
      <c r="C134" s="7"/>
      <c r="I134" s="251" t="s">
        <v>124</v>
      </c>
      <c r="J134" s="251" t="s">
        <v>1694</v>
      </c>
      <c r="K134" s="225"/>
      <c r="L134" s="226"/>
      <c r="N134" s="215"/>
      <c r="O134" s="215"/>
      <c r="P134" s="216"/>
      <c r="Q134" s="215"/>
      <c r="R134" s="216"/>
    </row>
    <row r="135" spans="1:18" ht="13">
      <c r="C135" s="7"/>
      <c r="I135" s="251" t="s">
        <v>124</v>
      </c>
      <c r="J135" s="251" t="s">
        <v>1671</v>
      </c>
      <c r="K135" s="225"/>
      <c r="L135" s="226"/>
      <c r="N135" s="215"/>
      <c r="O135" s="215"/>
      <c r="P135" s="216"/>
      <c r="Q135" s="215"/>
      <c r="R135" s="215"/>
    </row>
    <row r="136" spans="1:18" ht="14">
      <c r="I136" s="251" t="s">
        <v>129</v>
      </c>
      <c r="J136" s="251" t="s">
        <v>1615</v>
      </c>
      <c r="K136" s="225" t="s">
        <v>1787</v>
      </c>
      <c r="L136" s="226" t="s">
        <v>1788</v>
      </c>
      <c r="N136" s="215"/>
      <c r="O136" s="215"/>
      <c r="P136" s="216"/>
      <c r="Q136" s="215"/>
      <c r="R136" s="215"/>
    </row>
    <row r="137" spans="1:18" ht="13">
      <c r="I137" s="251" t="s">
        <v>129</v>
      </c>
      <c r="J137" s="251" t="s">
        <v>1779</v>
      </c>
      <c r="K137" s="225"/>
      <c r="L137" s="226"/>
      <c r="N137" s="215"/>
      <c r="O137" s="215"/>
      <c r="P137" s="216"/>
      <c r="Q137" s="215"/>
      <c r="R137" s="215"/>
    </row>
    <row r="138" spans="1:18" ht="13">
      <c r="I138" s="251" t="s">
        <v>132</v>
      </c>
      <c r="J138" s="251" t="s">
        <v>457</v>
      </c>
      <c r="K138" s="225"/>
      <c r="L138" s="226"/>
      <c r="N138" s="215"/>
      <c r="O138" s="215"/>
      <c r="P138" s="215"/>
      <c r="Q138" s="215"/>
      <c r="R138" s="216"/>
    </row>
    <row r="139" spans="1:18" ht="13">
      <c r="I139" s="251" t="s">
        <v>132</v>
      </c>
      <c r="J139" s="251" t="s">
        <v>1615</v>
      </c>
      <c r="K139" s="225"/>
      <c r="L139" s="226"/>
      <c r="N139" s="215"/>
      <c r="O139" s="215"/>
      <c r="P139" s="216"/>
      <c r="Q139" s="215"/>
      <c r="R139" s="215"/>
    </row>
    <row r="140" spans="1:18" ht="28">
      <c r="I140" s="251" t="s">
        <v>132</v>
      </c>
      <c r="J140" s="251" t="s">
        <v>1634</v>
      </c>
      <c r="K140" s="225" t="s">
        <v>1789</v>
      </c>
      <c r="L140" s="226" t="s">
        <v>1621</v>
      </c>
      <c r="N140" s="215"/>
      <c r="O140" s="215"/>
      <c r="P140" s="216"/>
      <c r="Q140" s="215"/>
      <c r="R140" s="215"/>
    </row>
    <row r="141" spans="1:18" ht="28">
      <c r="I141" s="251" t="s">
        <v>132</v>
      </c>
      <c r="J141" s="251" t="s">
        <v>1748</v>
      </c>
      <c r="K141" s="225" t="s">
        <v>1790</v>
      </c>
      <c r="L141" s="226" t="s">
        <v>1790</v>
      </c>
      <c r="N141" s="215"/>
      <c r="O141" s="215"/>
      <c r="P141" s="215"/>
      <c r="Q141" s="215"/>
      <c r="R141" s="216"/>
    </row>
    <row r="142" spans="1:18" ht="14">
      <c r="I142" s="251" t="s">
        <v>132</v>
      </c>
      <c r="J142" s="251" t="s">
        <v>1791</v>
      </c>
      <c r="K142" s="225" t="s">
        <v>1774</v>
      </c>
      <c r="L142" s="249" t="s">
        <v>1774</v>
      </c>
      <c r="N142" s="215"/>
      <c r="O142" s="215"/>
      <c r="P142" s="216"/>
      <c r="Q142" s="215"/>
      <c r="R142" s="216"/>
    </row>
    <row r="143" spans="1:18" ht="28">
      <c r="I143" s="251" t="s">
        <v>136</v>
      </c>
      <c r="J143" s="251"/>
      <c r="K143" s="225" t="s">
        <v>1792</v>
      </c>
      <c r="L143" s="226" t="s">
        <v>1640</v>
      </c>
      <c r="N143" s="215"/>
      <c r="O143" s="215"/>
      <c r="P143" s="215"/>
      <c r="Q143" s="215"/>
      <c r="R143" s="216"/>
    </row>
    <row r="144" spans="1:18" ht="28">
      <c r="I144" s="251" t="s">
        <v>136</v>
      </c>
      <c r="J144" s="251"/>
      <c r="K144" s="225" t="s">
        <v>1786</v>
      </c>
      <c r="L144" s="245" t="s">
        <v>1685</v>
      </c>
      <c r="N144" s="215"/>
      <c r="O144" s="215"/>
      <c r="P144" s="215"/>
      <c r="Q144" s="215"/>
      <c r="R144" s="215"/>
    </row>
    <row r="145" spans="9:18" ht="14">
      <c r="I145" s="251" t="s">
        <v>140</v>
      </c>
      <c r="J145" s="225" t="s">
        <v>1671</v>
      </c>
      <c r="K145" s="225" t="s">
        <v>1793</v>
      </c>
      <c r="L145" s="226" t="s">
        <v>1677</v>
      </c>
      <c r="N145" s="215"/>
      <c r="O145" s="215"/>
      <c r="P145" s="216"/>
      <c r="Q145" s="215"/>
      <c r="R145" s="216"/>
    </row>
    <row r="146" spans="9:18" ht="28">
      <c r="I146" s="251" t="s">
        <v>140</v>
      </c>
      <c r="J146" s="225" t="s">
        <v>1748</v>
      </c>
      <c r="K146" s="225" t="s">
        <v>1786</v>
      </c>
      <c r="L146" s="245" t="s">
        <v>1685</v>
      </c>
      <c r="N146" s="215"/>
      <c r="O146" s="215"/>
      <c r="P146" s="215"/>
      <c r="Q146" s="215"/>
      <c r="R146" s="215"/>
    </row>
    <row r="147" spans="9:18" ht="14">
      <c r="I147" s="251" t="s">
        <v>140</v>
      </c>
      <c r="J147" s="251" t="s">
        <v>1615</v>
      </c>
      <c r="K147" s="225" t="s">
        <v>1794</v>
      </c>
      <c r="L147" s="226"/>
      <c r="N147" s="215"/>
      <c r="O147" s="215"/>
      <c r="P147" s="215"/>
      <c r="Q147" s="215"/>
      <c r="R147" s="215"/>
    </row>
    <row r="148" spans="9:18" ht="28">
      <c r="I148" s="251" t="s">
        <v>140</v>
      </c>
      <c r="J148" s="251" t="s">
        <v>1637</v>
      </c>
      <c r="K148" s="225" t="s">
        <v>1795</v>
      </c>
      <c r="L148" s="226"/>
      <c r="N148" s="215"/>
      <c r="O148" s="215"/>
      <c r="P148" s="216"/>
      <c r="Q148" s="215"/>
      <c r="R148" s="216"/>
    </row>
    <row r="149" spans="9:18" ht="14">
      <c r="I149" s="251" t="s">
        <v>140</v>
      </c>
      <c r="J149" s="225" t="s">
        <v>1703</v>
      </c>
      <c r="K149" s="220"/>
      <c r="L149" s="226"/>
      <c r="N149" s="215"/>
      <c r="O149" s="215"/>
      <c r="P149" s="216"/>
      <c r="Q149" s="215"/>
      <c r="R149" s="215"/>
    </row>
    <row r="150" spans="9:18" ht="14">
      <c r="I150" s="251" t="s">
        <v>144</v>
      </c>
      <c r="J150" s="225" t="s">
        <v>1643</v>
      </c>
      <c r="K150" s="225" t="s">
        <v>1796</v>
      </c>
      <c r="L150" s="226" t="s">
        <v>1621</v>
      </c>
      <c r="N150" s="215"/>
      <c r="O150" s="215"/>
      <c r="P150" s="215"/>
      <c r="Q150" s="215"/>
      <c r="R150" s="215"/>
    </row>
    <row r="151" spans="9:18" ht="14">
      <c r="I151" s="251" t="s">
        <v>144</v>
      </c>
      <c r="J151" s="225" t="s">
        <v>1728</v>
      </c>
      <c r="K151" s="225" t="s">
        <v>1797</v>
      </c>
      <c r="L151" s="226" t="s">
        <v>1677</v>
      </c>
      <c r="N151" s="215"/>
      <c r="O151" s="215"/>
      <c r="P151" s="215"/>
      <c r="Q151" s="215"/>
      <c r="R151" s="215"/>
    </row>
    <row r="152" spans="9:18" ht="14">
      <c r="I152" s="251" t="s">
        <v>144</v>
      </c>
      <c r="J152" s="251" t="s">
        <v>1798</v>
      </c>
      <c r="K152" s="225" t="s">
        <v>1799</v>
      </c>
      <c r="L152" s="226" t="s">
        <v>1629</v>
      </c>
      <c r="N152" s="215"/>
      <c r="O152" s="215"/>
      <c r="P152" s="215"/>
      <c r="Q152" s="215"/>
      <c r="R152" s="215"/>
    </row>
    <row r="153" spans="9:18" ht="13">
      <c r="I153" s="251" t="s">
        <v>147</v>
      </c>
      <c r="J153" s="251" t="s">
        <v>1779</v>
      </c>
      <c r="K153" s="220"/>
      <c r="L153" s="226"/>
      <c r="N153" s="215"/>
      <c r="O153" s="215"/>
      <c r="P153" s="215"/>
      <c r="Q153" s="215"/>
      <c r="R153" s="215"/>
    </row>
    <row r="154" spans="9:18" ht="13">
      <c r="I154" s="251" t="s">
        <v>147</v>
      </c>
      <c r="J154" s="251" t="s">
        <v>1683</v>
      </c>
      <c r="K154" s="220"/>
      <c r="L154" s="226"/>
      <c r="N154" s="215"/>
      <c r="O154" s="215"/>
      <c r="P154" s="215"/>
      <c r="Q154" s="215"/>
      <c r="R154" s="215"/>
    </row>
    <row r="155" spans="9:18" ht="13">
      <c r="I155" s="251" t="s">
        <v>147</v>
      </c>
      <c r="J155" s="251" t="s">
        <v>1615</v>
      </c>
      <c r="K155" s="220"/>
      <c r="L155" s="226"/>
      <c r="N155" s="215"/>
      <c r="O155" s="215"/>
      <c r="P155" s="215"/>
      <c r="Q155" s="215"/>
      <c r="R155" s="215"/>
    </row>
    <row r="156" spans="9:18" ht="28">
      <c r="I156" s="251" t="s">
        <v>147</v>
      </c>
      <c r="J156" s="251" t="s">
        <v>1637</v>
      </c>
      <c r="K156" s="225" t="s">
        <v>1800</v>
      </c>
      <c r="L156" s="226" t="s">
        <v>1677</v>
      </c>
      <c r="N156" s="215"/>
      <c r="O156" s="215"/>
      <c r="P156" s="215"/>
      <c r="Q156" s="215"/>
      <c r="R156" s="216"/>
    </row>
    <row r="157" spans="9:18" ht="28">
      <c r="I157" s="251" t="s">
        <v>147</v>
      </c>
      <c r="J157" s="225" t="s">
        <v>1671</v>
      </c>
      <c r="K157" s="225" t="s">
        <v>1801</v>
      </c>
      <c r="L157" s="226"/>
      <c r="N157" s="215"/>
      <c r="O157" s="215"/>
      <c r="P157" s="215"/>
      <c r="Q157" s="215"/>
      <c r="R157" s="216"/>
    </row>
    <row r="158" spans="9:18" ht="28">
      <c r="I158" s="251" t="s">
        <v>147</v>
      </c>
      <c r="J158" s="251" t="s">
        <v>1802</v>
      </c>
      <c r="K158" s="225" t="s">
        <v>1803</v>
      </c>
      <c r="L158" s="226" t="s">
        <v>1689</v>
      </c>
      <c r="N158" s="215"/>
      <c r="O158" s="215"/>
      <c r="P158" s="216"/>
      <c r="Q158" s="215"/>
      <c r="R158" s="216"/>
    </row>
    <row r="159" spans="9:18" ht="28">
      <c r="I159" s="251" t="s">
        <v>147</v>
      </c>
      <c r="J159" s="251" t="s">
        <v>1740</v>
      </c>
      <c r="K159" s="225" t="s">
        <v>1804</v>
      </c>
      <c r="L159" s="226" t="s">
        <v>1645</v>
      </c>
      <c r="N159" s="215"/>
      <c r="O159" s="215"/>
      <c r="P159" s="215"/>
      <c r="Q159" s="215"/>
      <c r="R159" s="216"/>
    </row>
    <row r="160" spans="9:18" ht="28">
      <c r="I160" s="251" t="s">
        <v>151</v>
      </c>
      <c r="J160" s="251" t="s">
        <v>1683</v>
      </c>
      <c r="K160" s="225" t="s">
        <v>1805</v>
      </c>
      <c r="L160" s="245" t="s">
        <v>1685</v>
      </c>
      <c r="N160" s="215"/>
      <c r="O160" s="215"/>
      <c r="P160" s="216"/>
      <c r="Q160" s="215"/>
      <c r="R160" s="216"/>
    </row>
    <row r="161" spans="9:18" ht="28">
      <c r="I161" s="251" t="s">
        <v>151</v>
      </c>
      <c r="J161" s="251" t="s">
        <v>1637</v>
      </c>
      <c r="K161" s="225" t="s">
        <v>1806</v>
      </c>
      <c r="L161" s="226" t="s">
        <v>1807</v>
      </c>
      <c r="N161" s="215"/>
      <c r="O161" s="215"/>
      <c r="P161" s="215"/>
      <c r="Q161" s="215"/>
      <c r="R161" s="215"/>
    </row>
    <row r="162" spans="9:18" ht="14">
      <c r="I162" s="251" t="s">
        <v>151</v>
      </c>
      <c r="J162" s="225" t="s">
        <v>1671</v>
      </c>
      <c r="K162" s="225"/>
      <c r="L162" s="226"/>
      <c r="N162" s="215"/>
      <c r="O162" s="215"/>
      <c r="P162" s="215"/>
      <c r="Q162" s="215"/>
      <c r="R162" s="215"/>
    </row>
    <row r="163" spans="9:18" ht="13">
      <c r="I163" s="251" t="s">
        <v>151</v>
      </c>
      <c r="J163" s="251" t="s">
        <v>1627</v>
      </c>
      <c r="K163" s="225"/>
      <c r="L163" s="226"/>
      <c r="N163" s="215"/>
      <c r="O163" s="215"/>
      <c r="P163" s="216"/>
      <c r="Q163" s="215"/>
      <c r="R163" s="215"/>
    </row>
    <row r="164" spans="9:18" ht="14">
      <c r="I164" s="251" t="s">
        <v>155</v>
      </c>
      <c r="J164" s="251" t="s">
        <v>1683</v>
      </c>
      <c r="K164" s="225" t="s">
        <v>1761</v>
      </c>
      <c r="L164" s="226" t="s">
        <v>1705</v>
      </c>
      <c r="N164" s="215"/>
      <c r="O164" s="215"/>
      <c r="P164" s="215"/>
      <c r="Q164" s="215"/>
      <c r="R164" s="215"/>
    </row>
    <row r="165" spans="9:18" ht="13">
      <c r="I165" s="251" t="s">
        <v>155</v>
      </c>
      <c r="J165" s="251" t="s">
        <v>1728</v>
      </c>
      <c r="K165" s="225"/>
      <c r="L165" s="226"/>
      <c r="N165" s="215"/>
      <c r="O165" s="215"/>
      <c r="P165" s="215"/>
      <c r="Q165" s="215"/>
      <c r="R165" s="215"/>
    </row>
    <row r="166" spans="9:18" ht="13">
      <c r="I166" s="251" t="s">
        <v>155</v>
      </c>
      <c r="J166" s="251" t="s">
        <v>1779</v>
      </c>
      <c r="K166" s="225"/>
      <c r="L166" s="226"/>
      <c r="N166" s="215"/>
      <c r="O166" s="215"/>
      <c r="P166" s="215"/>
      <c r="Q166" s="215"/>
      <c r="R166" s="215"/>
    </row>
    <row r="167" spans="9:18" ht="13">
      <c r="I167" s="251" t="s">
        <v>155</v>
      </c>
      <c r="J167" s="251" t="s">
        <v>1615</v>
      </c>
      <c r="K167" s="225"/>
      <c r="L167" s="226"/>
      <c r="N167" s="215"/>
      <c r="O167" s="215"/>
      <c r="P167" s="216"/>
      <c r="Q167" s="215"/>
      <c r="R167" s="215"/>
    </row>
    <row r="168" spans="9:18" ht="14">
      <c r="I168" s="251" t="s">
        <v>159</v>
      </c>
      <c r="J168" s="251" t="s">
        <v>1740</v>
      </c>
      <c r="K168" s="225" t="s">
        <v>1808</v>
      </c>
      <c r="L168" s="226"/>
      <c r="N168" s="215"/>
      <c r="O168" s="215"/>
      <c r="P168" s="215"/>
      <c r="Q168" s="215"/>
      <c r="R168" s="215"/>
    </row>
    <row r="169" spans="9:18" ht="14">
      <c r="I169" s="251" t="s">
        <v>159</v>
      </c>
      <c r="J169" s="225" t="s">
        <v>1802</v>
      </c>
      <c r="K169" s="225" t="s">
        <v>1809</v>
      </c>
      <c r="L169" s="226" t="s">
        <v>1705</v>
      </c>
      <c r="N169" s="215"/>
      <c r="O169" s="215"/>
      <c r="P169" s="215"/>
      <c r="Q169" s="215"/>
      <c r="R169" s="216"/>
    </row>
    <row r="170" spans="9:18" ht="14">
      <c r="I170" s="251" t="s">
        <v>159</v>
      </c>
      <c r="J170" s="225" t="s">
        <v>1736</v>
      </c>
      <c r="K170" s="225" t="s">
        <v>1810</v>
      </c>
      <c r="L170" s="226"/>
      <c r="N170" s="215"/>
      <c r="O170" s="215"/>
      <c r="P170" s="215"/>
      <c r="Q170" s="215"/>
      <c r="R170" s="216"/>
    </row>
    <row r="171" spans="9:18" ht="28">
      <c r="I171" s="251" t="s">
        <v>159</v>
      </c>
      <c r="J171" s="251" t="s">
        <v>1791</v>
      </c>
      <c r="K171" s="225" t="s">
        <v>1811</v>
      </c>
      <c r="L171" s="226" t="s">
        <v>1677</v>
      </c>
      <c r="N171" s="215"/>
      <c r="O171" s="215"/>
      <c r="P171" s="216"/>
      <c r="Q171" s="215"/>
      <c r="R171" s="216"/>
    </row>
    <row r="172" spans="9:18" ht="13">
      <c r="I172" s="251" t="s">
        <v>159</v>
      </c>
      <c r="J172" s="251" t="s">
        <v>1683</v>
      </c>
      <c r="K172" s="225"/>
      <c r="L172" s="226"/>
      <c r="N172" s="215"/>
      <c r="O172" s="215"/>
      <c r="P172" s="215"/>
      <c r="Q172" s="215"/>
      <c r="R172" s="216"/>
    </row>
    <row r="173" spans="9:18" ht="13">
      <c r="I173" s="251" t="s">
        <v>159</v>
      </c>
      <c r="J173" s="251" t="s">
        <v>1637</v>
      </c>
      <c r="K173" s="225"/>
      <c r="L173" s="226"/>
      <c r="N173" s="215"/>
      <c r="O173" s="215"/>
      <c r="P173" s="216"/>
      <c r="Q173" s="215"/>
      <c r="R173" s="216"/>
    </row>
    <row r="174" spans="9:18" ht="14">
      <c r="I174" s="251" t="s">
        <v>163</v>
      </c>
      <c r="J174" s="251" t="s">
        <v>1683</v>
      </c>
      <c r="K174" s="225" t="s">
        <v>1809</v>
      </c>
      <c r="L174" s="226" t="s">
        <v>1705</v>
      </c>
      <c r="N174" s="215"/>
      <c r="O174" s="215"/>
      <c r="P174" s="216"/>
      <c r="Q174" s="215"/>
      <c r="R174" s="216"/>
    </row>
    <row r="175" spans="9:18" ht="14">
      <c r="I175" s="251" t="s">
        <v>163</v>
      </c>
      <c r="J175" s="251" t="s">
        <v>1728</v>
      </c>
      <c r="K175" s="225" t="s">
        <v>1812</v>
      </c>
      <c r="L175" s="226" t="s">
        <v>1813</v>
      </c>
      <c r="N175" s="215"/>
      <c r="O175" s="215"/>
      <c r="P175" s="215"/>
      <c r="Q175" s="215"/>
      <c r="R175" s="215"/>
    </row>
    <row r="176" spans="9:18" ht="13">
      <c r="I176" s="251" t="s">
        <v>163</v>
      </c>
      <c r="J176" s="251" t="s">
        <v>1779</v>
      </c>
      <c r="K176" s="225"/>
      <c r="L176" s="226"/>
      <c r="N176" s="215"/>
      <c r="O176" s="215"/>
      <c r="P176" s="216"/>
      <c r="Q176" s="215"/>
      <c r="R176" s="215"/>
    </row>
    <row r="177" spans="9:18" ht="13">
      <c r="I177" s="251" t="s">
        <v>163</v>
      </c>
      <c r="J177" s="251" t="s">
        <v>1791</v>
      </c>
      <c r="K177" s="225"/>
      <c r="L177" s="226"/>
      <c r="N177" s="215"/>
      <c r="O177" s="215"/>
      <c r="P177" s="216"/>
      <c r="Q177" s="215"/>
      <c r="R177" s="216"/>
    </row>
    <row r="178" spans="9:18" ht="13">
      <c r="I178" s="251" t="s">
        <v>163</v>
      </c>
      <c r="J178" s="251" t="s">
        <v>1637</v>
      </c>
      <c r="K178" s="225"/>
      <c r="L178" s="226"/>
      <c r="N178" s="215"/>
      <c r="O178" s="215"/>
      <c r="P178" s="215"/>
      <c r="Q178" s="215"/>
      <c r="R178" s="215"/>
    </row>
    <row r="179" spans="9:18" ht="13">
      <c r="I179" s="251" t="s">
        <v>163</v>
      </c>
      <c r="J179" s="251" t="s">
        <v>1615</v>
      </c>
      <c r="K179" s="225"/>
      <c r="L179" s="226"/>
      <c r="N179" s="215"/>
      <c r="O179" s="215"/>
      <c r="P179" s="215"/>
      <c r="Q179" s="215"/>
      <c r="R179" s="215"/>
    </row>
    <row r="180" spans="9:18" ht="14">
      <c r="I180" s="251" t="s">
        <v>168</v>
      </c>
      <c r="J180" s="251" t="s">
        <v>1637</v>
      </c>
      <c r="K180" s="225" t="s">
        <v>1047</v>
      </c>
      <c r="L180" s="226"/>
      <c r="N180" s="215"/>
      <c r="O180" s="215"/>
      <c r="P180" s="215"/>
      <c r="Q180" s="215"/>
      <c r="R180" s="216"/>
    </row>
    <row r="181" spans="9:18" ht="13">
      <c r="I181" s="251" t="s">
        <v>168</v>
      </c>
      <c r="J181" s="251" t="s">
        <v>1683</v>
      </c>
      <c r="K181" s="225"/>
      <c r="L181" s="226"/>
      <c r="N181" s="215"/>
      <c r="O181" s="215"/>
      <c r="P181" s="215"/>
      <c r="Q181" s="215"/>
      <c r="R181" s="215"/>
    </row>
    <row r="182" spans="9:18" ht="13">
      <c r="I182" s="251" t="s">
        <v>168</v>
      </c>
      <c r="J182" s="251" t="s">
        <v>1779</v>
      </c>
      <c r="K182" s="225"/>
      <c r="L182" s="226"/>
      <c r="N182" s="215"/>
      <c r="O182" s="215"/>
      <c r="P182" s="215"/>
      <c r="Q182" s="215"/>
      <c r="R182" s="215"/>
    </row>
    <row r="183" spans="9:18" ht="14">
      <c r="I183" s="251" t="s">
        <v>172</v>
      </c>
      <c r="J183" s="251" t="s">
        <v>1683</v>
      </c>
      <c r="K183" s="225" t="s">
        <v>1761</v>
      </c>
      <c r="L183" s="226" t="s">
        <v>1705</v>
      </c>
      <c r="N183" s="215"/>
      <c r="O183" s="215"/>
      <c r="P183" s="215"/>
      <c r="Q183" s="215"/>
      <c r="R183" s="215"/>
    </row>
    <row r="184" spans="9:18" ht="14">
      <c r="I184" s="251" t="s">
        <v>172</v>
      </c>
      <c r="J184" s="251" t="s">
        <v>1637</v>
      </c>
      <c r="K184" s="225" t="s">
        <v>1814</v>
      </c>
      <c r="L184" s="226" t="s">
        <v>1677</v>
      </c>
      <c r="N184" s="215"/>
      <c r="O184" s="215"/>
      <c r="P184" s="215"/>
      <c r="Q184" s="215"/>
      <c r="R184" s="216"/>
    </row>
    <row r="185" spans="9:18" ht="13">
      <c r="I185" s="251" t="s">
        <v>172</v>
      </c>
      <c r="J185" s="251" t="s">
        <v>1615</v>
      </c>
      <c r="K185" s="225"/>
      <c r="L185" s="226"/>
      <c r="N185" s="215"/>
      <c r="O185" s="215"/>
      <c r="P185" s="215"/>
      <c r="Q185" s="215"/>
      <c r="R185" s="215"/>
    </row>
    <row r="186" spans="9:18" ht="42">
      <c r="I186" s="251" t="s">
        <v>176</v>
      </c>
      <c r="J186" s="251" t="s">
        <v>1779</v>
      </c>
      <c r="K186" s="225" t="s">
        <v>1815</v>
      </c>
      <c r="L186" s="226" t="s">
        <v>1629</v>
      </c>
      <c r="N186" s="215"/>
      <c r="O186" s="215"/>
      <c r="P186" s="216"/>
      <c r="Q186" s="215"/>
      <c r="R186" s="216"/>
    </row>
    <row r="187" spans="9:18" ht="13">
      <c r="I187" s="251" t="s">
        <v>176</v>
      </c>
      <c r="J187" s="251" t="s">
        <v>457</v>
      </c>
      <c r="K187" s="225"/>
      <c r="L187" s="226"/>
      <c r="N187" s="215"/>
      <c r="O187" s="215"/>
      <c r="P187" s="215"/>
      <c r="Q187" s="215"/>
      <c r="R187" s="216"/>
    </row>
    <row r="188" spans="9:18" ht="13">
      <c r="I188" s="251" t="s">
        <v>176</v>
      </c>
      <c r="J188" s="251" t="s">
        <v>1615</v>
      </c>
      <c r="K188" s="225"/>
      <c r="L188" s="226"/>
      <c r="N188" s="215"/>
      <c r="O188" s="215"/>
      <c r="P188" s="216"/>
      <c r="Q188" s="215"/>
      <c r="R188" s="216"/>
    </row>
    <row r="189" spans="9:18" ht="14">
      <c r="I189" s="251" t="s">
        <v>180</v>
      </c>
      <c r="J189" s="251" t="s">
        <v>1637</v>
      </c>
      <c r="K189" s="225" t="s">
        <v>1047</v>
      </c>
      <c r="L189" s="226"/>
      <c r="N189" s="215"/>
      <c r="O189" s="215"/>
      <c r="P189" s="215"/>
      <c r="Q189" s="215"/>
      <c r="R189" s="215"/>
    </row>
    <row r="190" spans="9:18" ht="13">
      <c r="I190" s="251" t="s">
        <v>180</v>
      </c>
      <c r="J190" s="251" t="s">
        <v>1791</v>
      </c>
      <c r="K190" s="225"/>
      <c r="L190" s="226"/>
      <c r="N190" s="215"/>
      <c r="O190" s="215"/>
      <c r="P190" s="215"/>
      <c r="Q190" s="215"/>
      <c r="R190" s="215"/>
    </row>
    <row r="191" spans="9:18" ht="13">
      <c r="I191" s="251" t="s">
        <v>180</v>
      </c>
      <c r="J191" s="251" t="s">
        <v>1671</v>
      </c>
      <c r="K191" s="225"/>
      <c r="L191" s="226"/>
      <c r="N191" s="215"/>
      <c r="O191" s="215"/>
      <c r="P191" s="216"/>
      <c r="Q191" s="215"/>
      <c r="R191" s="215"/>
    </row>
    <row r="192" spans="9:18" ht="14">
      <c r="I192" s="251" t="s">
        <v>184</v>
      </c>
      <c r="J192" s="251" t="s">
        <v>1637</v>
      </c>
      <c r="K192" s="225" t="s">
        <v>1816</v>
      </c>
      <c r="L192" s="225" t="s">
        <v>1774</v>
      </c>
      <c r="N192" s="215"/>
      <c r="O192" s="215"/>
      <c r="P192" s="215"/>
      <c r="Q192" s="215"/>
      <c r="R192" s="215"/>
    </row>
    <row r="193" spans="9:18" ht="14">
      <c r="I193" s="250" t="s">
        <v>184</v>
      </c>
      <c r="J193" s="225" t="s">
        <v>1643</v>
      </c>
      <c r="K193" s="225" t="s">
        <v>1809</v>
      </c>
      <c r="L193" s="226" t="s">
        <v>1705</v>
      </c>
      <c r="N193" s="215"/>
      <c r="O193" s="215"/>
      <c r="P193" s="215"/>
      <c r="Q193" s="215"/>
      <c r="R193" s="215"/>
    </row>
    <row r="194" spans="9:18" ht="28">
      <c r="I194" s="250" t="s">
        <v>184</v>
      </c>
      <c r="J194" s="251" t="s">
        <v>1671</v>
      </c>
      <c r="K194" s="225" t="s">
        <v>1786</v>
      </c>
      <c r="L194" s="245" t="s">
        <v>1685</v>
      </c>
      <c r="N194" s="215"/>
      <c r="O194" s="215"/>
      <c r="P194" s="215"/>
      <c r="Q194" s="215"/>
      <c r="R194" s="215"/>
    </row>
    <row r="195" spans="9:18" ht="13">
      <c r="I195" s="250" t="s">
        <v>184</v>
      </c>
      <c r="J195" s="251" t="s">
        <v>1683</v>
      </c>
      <c r="K195" s="225"/>
      <c r="L195" s="226"/>
      <c r="N195" s="215"/>
      <c r="O195" s="215"/>
      <c r="P195" s="216"/>
      <c r="Q195" s="215"/>
      <c r="R195" s="215"/>
    </row>
    <row r="196" spans="9:18" ht="13">
      <c r="I196" s="251" t="s">
        <v>188</v>
      </c>
      <c r="J196" s="251" t="s">
        <v>1615</v>
      </c>
      <c r="K196" s="225"/>
      <c r="L196" s="226"/>
      <c r="N196" s="215"/>
      <c r="O196" s="215"/>
      <c r="P196" s="215"/>
      <c r="Q196" s="215"/>
      <c r="R196" s="215"/>
    </row>
    <row r="197" spans="9:18" ht="14">
      <c r="I197" s="251" t="s">
        <v>188</v>
      </c>
      <c r="J197" s="251" t="s">
        <v>1637</v>
      </c>
      <c r="K197" s="225" t="s">
        <v>1817</v>
      </c>
      <c r="L197" s="226"/>
      <c r="N197" s="215"/>
      <c r="O197" s="215"/>
      <c r="P197" s="215"/>
      <c r="Q197" s="215"/>
      <c r="R197" s="216"/>
    </row>
    <row r="198" spans="9:18" ht="13">
      <c r="I198" s="251" t="s">
        <v>188</v>
      </c>
      <c r="J198" s="251" t="s">
        <v>1683</v>
      </c>
      <c r="K198" s="220"/>
      <c r="L198" s="226"/>
      <c r="N198" s="215"/>
      <c r="O198" s="215"/>
      <c r="P198" s="216"/>
      <c r="Q198" s="215"/>
      <c r="R198" s="216"/>
    </row>
    <row r="199" spans="9:18" ht="13">
      <c r="I199" s="211"/>
      <c r="J199" s="211"/>
      <c r="K199" s="211"/>
      <c r="N199" s="215"/>
      <c r="O199" s="215"/>
      <c r="P199" s="215"/>
      <c r="Q199" s="215"/>
      <c r="R199" s="215"/>
    </row>
    <row r="200" spans="9:18" ht="13">
      <c r="I200" s="211"/>
      <c r="J200" s="211"/>
      <c r="K200" s="211"/>
      <c r="N200" s="215"/>
      <c r="O200" s="215"/>
      <c r="P200" s="215"/>
      <c r="Q200" s="215"/>
      <c r="R200" s="216"/>
    </row>
    <row r="201" spans="9:18" ht="13">
      <c r="I201" s="211"/>
      <c r="J201" s="211"/>
      <c r="K201" s="211"/>
      <c r="N201" s="215"/>
      <c r="O201" s="215"/>
      <c r="P201" s="215"/>
      <c r="Q201" s="215"/>
      <c r="R201" s="216"/>
    </row>
    <row r="202" spans="9:18" ht="13">
      <c r="I202" s="211"/>
      <c r="J202" s="211"/>
      <c r="K202" s="211"/>
      <c r="N202" s="215"/>
      <c r="O202" s="215"/>
      <c r="P202" s="216"/>
      <c r="Q202" s="215"/>
      <c r="R202" s="216"/>
    </row>
    <row r="203" spans="9:18" ht="13">
      <c r="I203" s="211"/>
      <c r="J203" s="211"/>
      <c r="K203" s="211"/>
      <c r="N203" s="215"/>
      <c r="O203" s="215"/>
      <c r="P203" s="215"/>
      <c r="Q203" s="215"/>
      <c r="R203" s="215"/>
    </row>
    <row r="204" spans="9:18" ht="13">
      <c r="I204" s="211"/>
      <c r="J204" s="211"/>
      <c r="K204" s="211"/>
      <c r="N204" s="215"/>
      <c r="O204" s="215"/>
      <c r="P204" s="215"/>
      <c r="Q204" s="215"/>
      <c r="R204" s="215"/>
    </row>
    <row r="205" spans="9:18" ht="13">
      <c r="I205" s="211"/>
      <c r="J205" s="211"/>
      <c r="K205" s="211"/>
      <c r="N205" s="215"/>
      <c r="O205" s="215"/>
      <c r="P205" s="215"/>
      <c r="Q205" s="215"/>
      <c r="R205" s="215"/>
    </row>
    <row r="206" spans="9:18" ht="13">
      <c r="I206" s="211"/>
      <c r="J206" s="211"/>
      <c r="K206" s="211"/>
      <c r="N206" s="215"/>
      <c r="O206" s="215"/>
      <c r="P206" s="215"/>
      <c r="Q206" s="215"/>
      <c r="R206" s="215"/>
    </row>
    <row r="207" spans="9:18" ht="13">
      <c r="I207" s="211"/>
      <c r="J207" s="211"/>
      <c r="K207" s="211"/>
      <c r="N207" s="215"/>
      <c r="O207" s="215"/>
      <c r="P207" s="215"/>
      <c r="Q207" s="215"/>
      <c r="R207" s="215"/>
    </row>
    <row r="208" spans="9:18" ht="13">
      <c r="I208" s="211"/>
      <c r="J208" s="211"/>
      <c r="K208" s="211"/>
      <c r="N208" s="215"/>
      <c r="O208" s="215"/>
      <c r="P208" s="215"/>
      <c r="Q208" s="215"/>
      <c r="R208" s="215"/>
    </row>
    <row r="209" spans="9:18" ht="13">
      <c r="I209" s="211"/>
      <c r="J209" s="211"/>
      <c r="K209" s="211"/>
      <c r="N209" s="215"/>
      <c r="O209" s="215"/>
      <c r="P209" s="215"/>
      <c r="Q209" s="215"/>
      <c r="R209" s="215"/>
    </row>
    <row r="210" spans="9:18" ht="13">
      <c r="I210" s="211"/>
      <c r="J210" s="211"/>
      <c r="K210" s="211"/>
      <c r="N210" s="215"/>
      <c r="O210" s="215"/>
      <c r="P210" s="216"/>
      <c r="Q210" s="215"/>
      <c r="R210" s="216"/>
    </row>
    <row r="211" spans="9:18" ht="13">
      <c r="I211" s="211"/>
      <c r="J211" s="211"/>
      <c r="K211" s="211"/>
      <c r="N211" s="215"/>
      <c r="O211" s="215"/>
      <c r="P211" s="216"/>
      <c r="Q211" s="215"/>
      <c r="R211" s="216"/>
    </row>
    <row r="212" spans="9:18" ht="13">
      <c r="I212" s="211"/>
      <c r="J212" s="211"/>
      <c r="K212" s="211"/>
      <c r="N212" s="215"/>
      <c r="O212" s="215"/>
      <c r="P212" s="216"/>
      <c r="Q212" s="215"/>
      <c r="R212" s="216"/>
    </row>
    <row r="213" spans="9:18" ht="13">
      <c r="I213" s="211"/>
      <c r="J213" s="211"/>
      <c r="K213" s="211"/>
      <c r="N213" s="215"/>
      <c r="O213" s="215"/>
      <c r="P213" s="215"/>
      <c r="Q213" s="215"/>
      <c r="R213" s="215"/>
    </row>
    <row r="214" spans="9:18" ht="13">
      <c r="I214" s="211"/>
      <c r="J214" s="211"/>
      <c r="K214" s="211"/>
      <c r="N214" s="215"/>
      <c r="O214" s="215"/>
      <c r="P214" s="215"/>
      <c r="Q214" s="215"/>
      <c r="R214" s="216"/>
    </row>
    <row r="215" spans="9:18" ht="13">
      <c r="I215" s="211"/>
      <c r="J215" s="211"/>
      <c r="K215" s="211"/>
      <c r="N215" s="215"/>
      <c r="O215" s="215"/>
      <c r="P215" s="215"/>
      <c r="Q215" s="215"/>
      <c r="R215" s="216"/>
    </row>
    <row r="216" spans="9:18" ht="13">
      <c r="I216" s="211"/>
      <c r="J216" s="211"/>
      <c r="K216" s="211"/>
      <c r="N216" s="215"/>
      <c r="O216" s="215"/>
      <c r="P216" s="216"/>
      <c r="Q216" s="215"/>
      <c r="R216" s="215"/>
    </row>
    <row r="217" spans="9:18" ht="13">
      <c r="I217" s="211"/>
      <c r="J217" s="211"/>
      <c r="K217" s="211"/>
      <c r="N217" s="215"/>
      <c r="O217" s="215"/>
      <c r="P217" s="216"/>
      <c r="Q217" s="215"/>
      <c r="R217" s="215"/>
    </row>
    <row r="218" spans="9:18" ht="13">
      <c r="I218" s="211"/>
      <c r="J218" s="211"/>
      <c r="K218" s="211"/>
      <c r="N218" s="215"/>
      <c r="O218" s="215"/>
      <c r="P218" s="215"/>
      <c r="Q218" s="215"/>
      <c r="R218" s="215"/>
    </row>
    <row r="219" spans="9:18" ht="13">
      <c r="I219" s="211"/>
      <c r="J219" s="211"/>
      <c r="K219" s="211"/>
      <c r="N219" s="215"/>
      <c r="O219" s="215"/>
      <c r="P219" s="215"/>
      <c r="Q219" s="215"/>
      <c r="R219" s="216"/>
    </row>
    <row r="220" spans="9:18" ht="13">
      <c r="I220" s="211"/>
      <c r="J220" s="211"/>
      <c r="K220" s="211"/>
      <c r="N220" s="215"/>
      <c r="O220" s="215"/>
      <c r="P220" s="215"/>
      <c r="Q220" s="215"/>
      <c r="R220" s="215"/>
    </row>
    <row r="221" spans="9:18" ht="13">
      <c r="I221" s="211"/>
      <c r="J221" s="211"/>
      <c r="K221" s="211"/>
      <c r="N221" s="215"/>
      <c r="O221" s="215"/>
      <c r="P221" s="215"/>
      <c r="Q221" s="215"/>
      <c r="R221" s="215"/>
    </row>
    <row r="222" spans="9:18" ht="13">
      <c r="I222" s="211"/>
      <c r="J222" s="211"/>
      <c r="K222" s="211"/>
      <c r="N222" s="215"/>
      <c r="O222" s="215"/>
      <c r="P222" s="215"/>
      <c r="Q222" s="215"/>
      <c r="R222" s="215"/>
    </row>
    <row r="223" spans="9:18" ht="13">
      <c r="I223" s="211"/>
      <c r="J223" s="211"/>
      <c r="K223" s="211"/>
      <c r="N223" s="215"/>
      <c r="O223" s="215"/>
      <c r="P223" s="215"/>
      <c r="Q223" s="215"/>
      <c r="R223" s="215"/>
    </row>
    <row r="224" spans="9:18" ht="13">
      <c r="I224" s="211"/>
      <c r="J224" s="211"/>
      <c r="K224" s="211"/>
      <c r="N224" s="215"/>
      <c r="O224" s="215"/>
      <c r="P224" s="216"/>
      <c r="Q224" s="215"/>
      <c r="R224" s="216"/>
    </row>
    <row r="225" spans="9:18" ht="13">
      <c r="I225" s="211"/>
      <c r="J225" s="211"/>
      <c r="K225" s="211"/>
      <c r="N225" s="215"/>
      <c r="O225" s="215"/>
      <c r="P225" s="216"/>
      <c r="Q225" s="215"/>
      <c r="R225" s="216"/>
    </row>
    <row r="226" spans="9:18" ht="13">
      <c r="I226" s="211"/>
      <c r="J226" s="211"/>
      <c r="K226" s="211"/>
      <c r="N226" s="252"/>
      <c r="O226" s="248"/>
      <c r="P226" s="248"/>
      <c r="Q226" s="248"/>
      <c r="R226" s="248"/>
    </row>
    <row r="227" spans="9:18" ht="13">
      <c r="I227" s="211"/>
      <c r="J227" s="211"/>
      <c r="K227" s="211"/>
      <c r="N227" s="252"/>
      <c r="O227" s="248"/>
      <c r="P227" s="248"/>
      <c r="Q227" s="248"/>
      <c r="R227" s="248"/>
    </row>
    <row r="228" spans="9:18" ht="13">
      <c r="I228" s="211"/>
      <c r="J228" s="211"/>
      <c r="K228" s="211"/>
      <c r="N228" s="252"/>
      <c r="O228" s="248"/>
      <c r="P228" s="248"/>
      <c r="Q228" s="248"/>
      <c r="R228" s="248"/>
    </row>
    <row r="229" spans="9:18" ht="13">
      <c r="I229" s="211"/>
      <c r="J229" s="211"/>
      <c r="K229" s="211"/>
      <c r="N229" s="252"/>
      <c r="O229" s="248"/>
      <c r="P229" s="248"/>
      <c r="Q229" s="248"/>
      <c r="R229" s="248"/>
    </row>
    <row r="230" spans="9:18" ht="13">
      <c r="I230" s="211"/>
      <c r="J230" s="211"/>
      <c r="K230" s="211"/>
      <c r="N230" s="252"/>
      <c r="O230" s="248"/>
      <c r="P230" s="248"/>
      <c r="Q230" s="248"/>
      <c r="R230" s="248"/>
    </row>
    <row r="231" spans="9:18" ht="13">
      <c r="I231" s="211"/>
      <c r="J231" s="211"/>
      <c r="K231" s="211"/>
      <c r="N231" s="252"/>
      <c r="O231" s="248"/>
      <c r="P231" s="248"/>
      <c r="Q231" s="248"/>
      <c r="R231" s="248"/>
    </row>
    <row r="232" spans="9:18" ht="13">
      <c r="I232" s="211"/>
      <c r="J232" s="211"/>
      <c r="K232" s="211"/>
      <c r="N232" s="252"/>
      <c r="O232" s="248"/>
      <c r="P232" s="248"/>
      <c r="Q232" s="248"/>
      <c r="R232" s="248"/>
    </row>
    <row r="233" spans="9:18" ht="13">
      <c r="I233" s="211"/>
      <c r="J233" s="211"/>
      <c r="K233" s="211"/>
      <c r="N233" s="252"/>
      <c r="O233" s="248"/>
      <c r="P233" s="248"/>
      <c r="Q233" s="248"/>
      <c r="R233" s="248"/>
    </row>
    <row r="234" spans="9:18" ht="13">
      <c r="I234" s="211"/>
      <c r="J234" s="211"/>
      <c r="K234" s="211"/>
      <c r="N234" s="252"/>
      <c r="O234" s="248"/>
      <c r="P234" s="248"/>
      <c r="Q234" s="248"/>
      <c r="R234" s="248"/>
    </row>
    <row r="235" spans="9:18" ht="13">
      <c r="I235" s="211"/>
      <c r="J235" s="211"/>
      <c r="K235" s="211"/>
      <c r="N235" s="252"/>
      <c r="O235" s="248"/>
      <c r="P235" s="248"/>
      <c r="Q235" s="248"/>
      <c r="R235" s="248"/>
    </row>
    <row r="236" spans="9:18" ht="13">
      <c r="I236" s="211"/>
      <c r="J236" s="211"/>
      <c r="K236" s="211"/>
      <c r="N236" s="252"/>
      <c r="O236" s="248"/>
      <c r="P236" s="248"/>
      <c r="Q236" s="248"/>
      <c r="R236" s="248"/>
    </row>
    <row r="237" spans="9:18" ht="13">
      <c r="I237" s="211"/>
      <c r="J237" s="211"/>
      <c r="K237" s="211"/>
      <c r="N237" s="252"/>
      <c r="O237" s="248"/>
      <c r="P237" s="248"/>
      <c r="Q237" s="248"/>
      <c r="R237" s="248"/>
    </row>
    <row r="238" spans="9:18" ht="13">
      <c r="I238" s="211"/>
      <c r="J238" s="211"/>
      <c r="K238" s="211"/>
      <c r="N238" s="252"/>
      <c r="O238" s="248"/>
      <c r="P238" s="248"/>
      <c r="Q238" s="248"/>
      <c r="R238" s="248"/>
    </row>
    <row r="239" spans="9:18" ht="13">
      <c r="I239" s="211"/>
      <c r="J239" s="211"/>
      <c r="K239" s="211"/>
      <c r="N239" s="252"/>
      <c r="O239" s="248"/>
      <c r="P239" s="248"/>
      <c r="Q239" s="248"/>
      <c r="R239" s="248"/>
    </row>
    <row r="240" spans="9:18" ht="13">
      <c r="I240" s="211"/>
      <c r="J240" s="211"/>
      <c r="K240" s="211"/>
      <c r="N240" s="252"/>
      <c r="O240" s="248"/>
      <c r="P240" s="248"/>
      <c r="Q240" s="248"/>
      <c r="R240" s="248"/>
    </row>
    <row r="241" spans="9:18" ht="13">
      <c r="I241" s="211"/>
      <c r="J241" s="211"/>
      <c r="K241" s="211"/>
      <c r="N241" s="252"/>
      <c r="O241" s="248"/>
      <c r="P241" s="248"/>
      <c r="Q241" s="248"/>
      <c r="R241" s="248"/>
    </row>
    <row r="242" spans="9:18" ht="13">
      <c r="I242" s="211"/>
      <c r="J242" s="211"/>
      <c r="K242" s="211"/>
      <c r="N242" s="252"/>
      <c r="O242" s="248"/>
      <c r="P242" s="248"/>
      <c r="Q242" s="248"/>
      <c r="R242" s="248"/>
    </row>
    <row r="243" spans="9:18" ht="13">
      <c r="I243" s="211"/>
      <c r="J243" s="211"/>
      <c r="K243" s="211"/>
      <c r="N243" s="252"/>
      <c r="O243" s="248"/>
      <c r="P243" s="248"/>
      <c r="Q243" s="248"/>
      <c r="R243" s="248"/>
    </row>
    <row r="244" spans="9:18" ht="13">
      <c r="I244" s="211"/>
      <c r="J244" s="211"/>
      <c r="K244" s="211"/>
      <c r="N244" s="252"/>
      <c r="O244" s="248"/>
      <c r="P244" s="248"/>
      <c r="Q244" s="248"/>
      <c r="R244" s="248"/>
    </row>
    <row r="245" spans="9:18" ht="13">
      <c r="I245" s="211"/>
      <c r="J245" s="211"/>
      <c r="K245" s="211"/>
      <c r="N245" s="252"/>
      <c r="O245" s="248"/>
      <c r="P245" s="248"/>
      <c r="Q245" s="248"/>
      <c r="R245" s="248"/>
    </row>
    <row r="246" spans="9:18" ht="13">
      <c r="I246" s="211"/>
      <c r="J246" s="211"/>
      <c r="K246" s="211"/>
      <c r="N246" s="252"/>
      <c r="O246" s="248"/>
      <c r="P246" s="248"/>
      <c r="Q246" s="248"/>
      <c r="R246" s="248"/>
    </row>
    <row r="247" spans="9:18" ht="13">
      <c r="I247" s="211"/>
      <c r="J247" s="211"/>
      <c r="K247" s="211"/>
      <c r="N247" s="252"/>
      <c r="O247" s="248"/>
      <c r="P247" s="248"/>
      <c r="Q247" s="248"/>
      <c r="R247" s="248"/>
    </row>
    <row r="248" spans="9:18" ht="13">
      <c r="I248" s="211"/>
      <c r="J248" s="211"/>
      <c r="K248" s="211"/>
      <c r="N248" s="252"/>
      <c r="O248" s="248"/>
      <c r="P248" s="248"/>
      <c r="Q248" s="248"/>
      <c r="R248" s="248"/>
    </row>
    <row r="249" spans="9:18" ht="13">
      <c r="I249" s="211"/>
      <c r="J249" s="211"/>
      <c r="K249" s="211"/>
      <c r="N249" s="252"/>
      <c r="O249" s="248"/>
      <c r="P249" s="248"/>
      <c r="Q249" s="248"/>
      <c r="R249" s="248"/>
    </row>
    <row r="250" spans="9:18" ht="13">
      <c r="I250" s="211"/>
      <c r="J250" s="211"/>
      <c r="K250" s="211"/>
      <c r="N250" s="252"/>
      <c r="O250" s="248"/>
      <c r="P250" s="248"/>
      <c r="Q250" s="248"/>
      <c r="R250" s="248"/>
    </row>
    <row r="251" spans="9:18" ht="13">
      <c r="I251" s="211"/>
      <c r="J251" s="211"/>
      <c r="K251" s="211"/>
      <c r="N251" s="252"/>
      <c r="O251" s="248"/>
      <c r="P251" s="248"/>
      <c r="Q251" s="248"/>
      <c r="R251" s="248"/>
    </row>
    <row r="252" spans="9:18" ht="13">
      <c r="I252" s="211"/>
      <c r="J252" s="211"/>
      <c r="N252" s="252"/>
      <c r="O252" s="248"/>
      <c r="P252" s="248"/>
      <c r="Q252" s="248"/>
      <c r="R252" s="248"/>
    </row>
    <row r="253" spans="9:18" ht="13">
      <c r="I253" s="211"/>
      <c r="J253" s="211"/>
      <c r="N253" s="252"/>
      <c r="O253" s="248"/>
      <c r="P253" s="248"/>
      <c r="Q253" s="248"/>
      <c r="R253" s="248"/>
    </row>
    <row r="254" spans="9:18" ht="13">
      <c r="I254" s="211"/>
      <c r="J254" s="211"/>
      <c r="N254" s="252"/>
      <c r="O254" s="248"/>
      <c r="P254" s="248"/>
      <c r="Q254" s="248"/>
      <c r="R254" s="248"/>
    </row>
    <row r="255" spans="9:18" ht="13">
      <c r="I255" s="211"/>
      <c r="J255" s="211"/>
      <c r="N255" s="252"/>
      <c r="O255" s="248"/>
      <c r="P255" s="248"/>
      <c r="Q255" s="248"/>
      <c r="R255" s="248"/>
    </row>
    <row r="256" spans="9:18" ht="13">
      <c r="N256" s="252"/>
      <c r="O256" s="248"/>
      <c r="P256" s="248"/>
      <c r="Q256" s="248"/>
      <c r="R256" s="248"/>
    </row>
    <row r="257" spans="14:18" ht="13">
      <c r="N257" s="252"/>
      <c r="O257" s="248"/>
      <c r="P257" s="248"/>
      <c r="Q257" s="248"/>
      <c r="R257" s="248"/>
    </row>
    <row r="258" spans="14:18" ht="13">
      <c r="N258" s="252"/>
      <c r="O258" s="248"/>
      <c r="P258" s="248"/>
      <c r="Q258" s="248"/>
      <c r="R258" s="248"/>
    </row>
    <row r="259" spans="14:18" ht="13">
      <c r="N259" s="252"/>
      <c r="O259" s="248"/>
      <c r="P259" s="248"/>
      <c r="Q259" s="248"/>
      <c r="R259" s="248"/>
    </row>
    <row r="260" spans="14:18" ht="13">
      <c r="N260" s="252"/>
      <c r="O260" s="248"/>
      <c r="P260" s="248"/>
      <c r="Q260" s="248"/>
      <c r="R260" s="248"/>
    </row>
    <row r="261" spans="14:18" ht="13">
      <c r="N261" s="252"/>
      <c r="O261" s="248"/>
      <c r="P261" s="248"/>
      <c r="Q261" s="248"/>
      <c r="R261" s="248"/>
    </row>
    <row r="262" spans="14:18" ht="13">
      <c r="N262" s="252"/>
      <c r="O262" s="248"/>
      <c r="P262" s="248"/>
      <c r="Q262" s="248"/>
      <c r="R262" s="248"/>
    </row>
    <row r="263" spans="14:18" ht="13">
      <c r="N263" s="252"/>
      <c r="O263" s="248"/>
      <c r="P263" s="248"/>
      <c r="Q263" s="248"/>
      <c r="R263" s="248"/>
    </row>
    <row r="264" spans="14:18" ht="13">
      <c r="N264" s="252"/>
      <c r="O264" s="248"/>
      <c r="P264" s="248"/>
      <c r="Q264" s="248"/>
      <c r="R264" s="248"/>
    </row>
    <row r="265" spans="14:18" ht="13">
      <c r="N265" s="252"/>
      <c r="O265" s="248"/>
      <c r="P265" s="248"/>
      <c r="Q265" s="248"/>
      <c r="R265" s="248"/>
    </row>
    <row r="266" spans="14:18" ht="13">
      <c r="N266" s="252"/>
      <c r="O266" s="248"/>
      <c r="P266" s="248"/>
      <c r="Q266" s="248"/>
      <c r="R266" s="248"/>
    </row>
  </sheetData>
  <mergeCells count="6">
    <mergeCell ref="B41:B43"/>
    <mergeCell ref="B6:B11"/>
    <mergeCell ref="B12:B15"/>
    <mergeCell ref="B16:B22"/>
    <mergeCell ref="B25:B32"/>
    <mergeCell ref="B33:B4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54"/>
  <sheetViews>
    <sheetView topLeftCell="B1" workbookViewId="0">
      <pane ySplit="1" topLeftCell="A2" activePane="bottomLeft" state="frozen"/>
      <selection pane="bottomLeft" activeCell="B3" sqref="B3"/>
    </sheetView>
  </sheetViews>
  <sheetFormatPr baseColWidth="10" defaultColWidth="12.6640625" defaultRowHeight="15.75" customHeight="1"/>
  <cols>
    <col min="1" max="1" width="18.83203125" hidden="1" customWidth="1"/>
    <col min="2" max="2" width="18.83203125" customWidth="1"/>
    <col min="3" max="3" width="8.83203125" customWidth="1"/>
    <col min="4" max="4" width="72" customWidth="1"/>
    <col min="5" max="5" width="18.83203125" customWidth="1"/>
    <col min="6" max="6" width="10" customWidth="1"/>
    <col min="7" max="7" width="13" customWidth="1"/>
    <col min="8" max="8" width="12.1640625" customWidth="1"/>
    <col min="9" max="9" width="11.1640625" customWidth="1"/>
    <col min="10" max="10" width="11.5" customWidth="1"/>
    <col min="11" max="11" width="49.6640625" customWidth="1"/>
    <col min="12" max="12" width="37.33203125" customWidth="1"/>
    <col min="13" max="13" width="24.1640625" customWidth="1"/>
    <col min="14" max="21" width="18.83203125" customWidth="1"/>
    <col min="22" max="22" width="23.6640625" customWidth="1"/>
    <col min="23" max="25" width="18.83203125" customWidth="1"/>
    <col min="26" max="26" width="24" customWidth="1"/>
    <col min="27" max="45" width="18.83203125" customWidth="1"/>
    <col min="46" max="46" width="52.5" customWidth="1"/>
    <col min="47" max="47" width="18.83203125" customWidth="1"/>
    <col min="48" max="48" width="23.6640625" customWidth="1"/>
    <col min="49" max="49" width="18.83203125" customWidth="1"/>
    <col min="50" max="50" width="49.6640625" customWidth="1"/>
    <col min="51" max="51" width="18.83203125" customWidth="1"/>
  </cols>
  <sheetData>
    <row r="1" spans="1:51" ht="84">
      <c r="A1" s="6" t="s">
        <v>192</v>
      </c>
      <c r="B1" s="7" t="s">
        <v>193</v>
      </c>
      <c r="C1" s="7" t="s">
        <v>194</v>
      </c>
      <c r="D1" s="7" t="s">
        <v>195</v>
      </c>
      <c r="E1" s="7" t="s">
        <v>2</v>
      </c>
      <c r="F1" s="7" t="s">
        <v>3</v>
      </c>
      <c r="G1" s="7" t="s">
        <v>4</v>
      </c>
      <c r="H1" s="7" t="s">
        <v>5</v>
      </c>
      <c r="I1" s="7" t="s">
        <v>6</v>
      </c>
      <c r="J1" s="7" t="s">
        <v>7</v>
      </c>
      <c r="K1" s="8" t="s">
        <v>196</v>
      </c>
      <c r="L1" s="6" t="s">
        <v>197</v>
      </c>
      <c r="M1" s="6" t="s">
        <v>198</v>
      </c>
      <c r="N1" s="6" t="s">
        <v>199</v>
      </c>
      <c r="O1" s="6" t="s">
        <v>200</v>
      </c>
      <c r="P1" s="6" t="s">
        <v>201</v>
      </c>
      <c r="Q1" s="6" t="s">
        <v>202</v>
      </c>
      <c r="R1" s="8" t="s">
        <v>203</v>
      </c>
      <c r="S1" s="6" t="s">
        <v>204</v>
      </c>
      <c r="T1" s="6" t="s">
        <v>205</v>
      </c>
      <c r="U1" s="6" t="s">
        <v>206</v>
      </c>
      <c r="V1" s="6" t="s">
        <v>207</v>
      </c>
      <c r="W1" s="6" t="s">
        <v>208</v>
      </c>
      <c r="X1" s="6" t="s">
        <v>209</v>
      </c>
      <c r="Y1" s="8" t="s">
        <v>210</v>
      </c>
      <c r="Z1" s="6" t="s">
        <v>211</v>
      </c>
      <c r="AA1" s="6" t="s">
        <v>212</v>
      </c>
      <c r="AB1" s="6" t="s">
        <v>213</v>
      </c>
      <c r="AC1" s="6" t="s">
        <v>214</v>
      </c>
      <c r="AD1" s="6" t="s">
        <v>215</v>
      </c>
      <c r="AE1" s="6" t="s">
        <v>216</v>
      </c>
      <c r="AF1" s="6" t="s">
        <v>217</v>
      </c>
      <c r="AG1" s="6" t="s">
        <v>218</v>
      </c>
      <c r="AH1" s="6" t="s">
        <v>219</v>
      </c>
      <c r="AI1" s="6" t="s">
        <v>220</v>
      </c>
      <c r="AJ1" s="6" t="s">
        <v>221</v>
      </c>
      <c r="AK1" s="6" t="s">
        <v>222</v>
      </c>
      <c r="AL1" s="6" t="s">
        <v>223</v>
      </c>
      <c r="AM1" s="6" t="s">
        <v>224</v>
      </c>
      <c r="AN1" s="6" t="s">
        <v>225</v>
      </c>
      <c r="AO1" s="6" t="s">
        <v>226</v>
      </c>
      <c r="AP1" s="6" t="s">
        <v>227</v>
      </c>
      <c r="AQ1" s="6" t="s">
        <v>228</v>
      </c>
      <c r="AR1" s="6" t="s">
        <v>229</v>
      </c>
      <c r="AS1" s="6" t="s">
        <v>230</v>
      </c>
      <c r="AT1" s="6" t="s">
        <v>231</v>
      </c>
      <c r="AU1" s="8" t="s">
        <v>232</v>
      </c>
      <c r="AV1" s="8" t="s">
        <v>233</v>
      </c>
      <c r="AW1" s="8" t="s">
        <v>234</v>
      </c>
      <c r="AX1" s="8" t="s">
        <v>235</v>
      </c>
      <c r="AY1" s="8" t="s">
        <v>236</v>
      </c>
    </row>
    <row r="2" spans="1:51" ht="13">
      <c r="A2" s="9">
        <v>45002.432325636575</v>
      </c>
      <c r="B2" s="7" t="s">
        <v>237</v>
      </c>
      <c r="C2" s="7">
        <v>1</v>
      </c>
      <c r="D2" s="7" t="s">
        <v>9</v>
      </c>
      <c r="E2" s="7" t="s">
        <v>10</v>
      </c>
      <c r="F2" s="7">
        <v>2022</v>
      </c>
      <c r="G2" s="7" t="s">
        <v>11</v>
      </c>
      <c r="H2" s="7" t="s">
        <v>12</v>
      </c>
      <c r="I2" s="7" t="s">
        <v>13</v>
      </c>
      <c r="J2" s="7">
        <v>0</v>
      </c>
      <c r="K2" s="7" t="s">
        <v>238</v>
      </c>
      <c r="L2" s="7" t="s">
        <v>239</v>
      </c>
      <c r="M2" s="7" t="s">
        <v>240</v>
      </c>
      <c r="N2" s="7" t="s">
        <v>241</v>
      </c>
      <c r="O2" s="7" t="s">
        <v>242</v>
      </c>
      <c r="P2" s="7" t="s">
        <v>243</v>
      </c>
      <c r="Q2" s="7" t="s">
        <v>244</v>
      </c>
      <c r="R2" s="7" t="s">
        <v>245</v>
      </c>
      <c r="S2" s="7" t="s">
        <v>246</v>
      </c>
      <c r="T2" s="7" t="s">
        <v>247</v>
      </c>
      <c r="U2" s="7" t="s">
        <v>248</v>
      </c>
      <c r="V2" s="7" t="s">
        <v>249</v>
      </c>
      <c r="W2" s="7" t="s">
        <v>250</v>
      </c>
      <c r="X2" s="7" t="s">
        <v>251</v>
      </c>
      <c r="Y2" s="10" t="s">
        <v>252</v>
      </c>
      <c r="Z2" s="7" t="s">
        <v>253</v>
      </c>
      <c r="AA2" s="7" t="s">
        <v>254</v>
      </c>
      <c r="AB2" s="7" t="s">
        <v>255</v>
      </c>
      <c r="AC2" s="7" t="s">
        <v>256</v>
      </c>
      <c r="AD2" s="7" t="s">
        <v>257</v>
      </c>
      <c r="AE2" s="7" t="s">
        <v>258</v>
      </c>
      <c r="AF2" s="11" t="s">
        <v>259</v>
      </c>
      <c r="AG2" s="7" t="s">
        <v>260</v>
      </c>
      <c r="AH2" s="7" t="s">
        <v>261</v>
      </c>
      <c r="AI2" s="7" t="s">
        <v>262</v>
      </c>
      <c r="AJ2" s="7" t="s">
        <v>262</v>
      </c>
      <c r="AK2" s="7" t="s">
        <v>263</v>
      </c>
      <c r="AL2" s="7" t="s">
        <v>264</v>
      </c>
      <c r="AM2" s="7" t="s">
        <v>265</v>
      </c>
      <c r="AN2" s="7" t="s">
        <v>265</v>
      </c>
      <c r="AO2" s="7" t="s">
        <v>266</v>
      </c>
      <c r="AP2" s="7" t="s">
        <v>267</v>
      </c>
      <c r="AQ2" s="7" t="s">
        <v>268</v>
      </c>
      <c r="AR2" s="7" t="s">
        <v>269</v>
      </c>
      <c r="AS2" s="7" t="s">
        <v>270</v>
      </c>
      <c r="AT2" s="7" t="s">
        <v>271</v>
      </c>
      <c r="AU2" s="7" t="s">
        <v>272</v>
      </c>
      <c r="AV2" s="7" t="s">
        <v>273</v>
      </c>
      <c r="AW2" s="7" t="s">
        <v>274</v>
      </c>
      <c r="AX2" s="7" t="s">
        <v>275</v>
      </c>
      <c r="AY2" s="7" t="s">
        <v>268</v>
      </c>
    </row>
    <row r="3" spans="1:51" ht="13">
      <c r="A3" s="12">
        <v>45021.415861516201</v>
      </c>
      <c r="B3" s="13" t="s">
        <v>276</v>
      </c>
      <c r="C3" s="13">
        <v>1</v>
      </c>
      <c r="D3" s="13" t="s">
        <v>277</v>
      </c>
      <c r="E3" s="13" t="s">
        <v>278</v>
      </c>
      <c r="F3" s="13">
        <v>2022</v>
      </c>
      <c r="G3" s="13" t="s">
        <v>11</v>
      </c>
      <c r="H3" s="13" t="s">
        <v>12</v>
      </c>
      <c r="I3" s="13" t="s">
        <v>13</v>
      </c>
      <c r="J3" s="13">
        <v>0</v>
      </c>
      <c r="K3" s="13" t="s">
        <v>279</v>
      </c>
      <c r="L3" s="13" t="s">
        <v>280</v>
      </c>
      <c r="M3" s="13" t="s">
        <v>281</v>
      </c>
      <c r="N3" s="13" t="s">
        <v>282</v>
      </c>
      <c r="O3" s="13" t="s">
        <v>283</v>
      </c>
      <c r="P3" s="13" t="s">
        <v>284</v>
      </c>
      <c r="Q3" s="13" t="s">
        <v>285</v>
      </c>
      <c r="R3" s="13" t="s">
        <v>286</v>
      </c>
      <c r="S3" s="13" t="s">
        <v>246</v>
      </c>
      <c r="T3" s="13" t="s">
        <v>287</v>
      </c>
      <c r="U3" s="13" t="s">
        <v>288</v>
      </c>
      <c r="V3" s="13" t="s">
        <v>289</v>
      </c>
      <c r="W3" s="13" t="s">
        <v>290</v>
      </c>
      <c r="X3" s="13" t="s">
        <v>291</v>
      </c>
      <c r="Y3" s="13" t="s">
        <v>252</v>
      </c>
      <c r="Z3" s="13" t="s">
        <v>292</v>
      </c>
      <c r="AA3" s="13" t="s">
        <v>293</v>
      </c>
      <c r="AB3" s="13" t="s">
        <v>255</v>
      </c>
      <c r="AC3" s="13" t="s">
        <v>294</v>
      </c>
      <c r="AD3" s="13" t="s">
        <v>257</v>
      </c>
      <c r="AE3" s="13" t="s">
        <v>295</v>
      </c>
      <c r="AF3" s="13" t="s">
        <v>259</v>
      </c>
      <c r="AG3" s="13" t="s">
        <v>296</v>
      </c>
      <c r="AH3" s="14" t="s">
        <v>297</v>
      </c>
      <c r="AI3" s="13"/>
      <c r="AJ3" s="13" t="s">
        <v>262</v>
      </c>
      <c r="AK3" s="13" t="s">
        <v>298</v>
      </c>
      <c r="AL3" s="13" t="s">
        <v>299</v>
      </c>
      <c r="AM3" s="13" t="s">
        <v>262</v>
      </c>
      <c r="AN3" s="13" t="s">
        <v>265</v>
      </c>
      <c r="AO3" s="13" t="s">
        <v>300</v>
      </c>
      <c r="AP3" s="13" t="s">
        <v>301</v>
      </c>
      <c r="AQ3" s="13" t="s">
        <v>268</v>
      </c>
      <c r="AR3" s="13" t="s">
        <v>302</v>
      </c>
      <c r="AS3" s="13" t="s">
        <v>303</v>
      </c>
      <c r="AT3" s="13" t="s">
        <v>304</v>
      </c>
      <c r="AU3" s="13" t="s">
        <v>305</v>
      </c>
      <c r="AV3" s="13" t="s">
        <v>306</v>
      </c>
      <c r="AW3" s="13" t="s">
        <v>307</v>
      </c>
      <c r="AX3" s="13" t="s">
        <v>308</v>
      </c>
      <c r="AY3" s="13" t="s">
        <v>268</v>
      </c>
    </row>
    <row r="4" spans="1:51" ht="19.5" customHeight="1">
      <c r="A4" s="9">
        <v>45002.491367314811</v>
      </c>
      <c r="B4" s="7" t="s">
        <v>237</v>
      </c>
      <c r="C4" s="7">
        <v>2</v>
      </c>
      <c r="D4" s="7" t="s">
        <v>15</v>
      </c>
      <c r="E4" s="7" t="s">
        <v>16</v>
      </c>
      <c r="F4" s="7">
        <v>2022</v>
      </c>
      <c r="G4" s="7" t="s">
        <v>11</v>
      </c>
      <c r="H4" s="7" t="s">
        <v>12</v>
      </c>
      <c r="I4" s="7" t="s">
        <v>13</v>
      </c>
      <c r="J4" s="7">
        <v>1</v>
      </c>
      <c r="K4" s="7" t="s">
        <v>309</v>
      </c>
      <c r="L4" s="7" t="s">
        <v>310</v>
      </c>
      <c r="M4" s="7" t="s">
        <v>311</v>
      </c>
      <c r="N4" s="10" t="s">
        <v>312</v>
      </c>
      <c r="O4" s="7" t="s">
        <v>313</v>
      </c>
      <c r="P4" s="7" t="s">
        <v>314</v>
      </c>
      <c r="Q4" s="7" t="s">
        <v>315</v>
      </c>
      <c r="R4" s="7" t="s">
        <v>316</v>
      </c>
      <c r="S4" s="7" t="s">
        <v>317</v>
      </c>
      <c r="T4" s="7" t="s">
        <v>318</v>
      </c>
      <c r="U4" s="7" t="s">
        <v>319</v>
      </c>
      <c r="V4" s="7" t="s">
        <v>320</v>
      </c>
      <c r="W4" s="7" t="s">
        <v>250</v>
      </c>
      <c r="X4" s="7" t="s">
        <v>251</v>
      </c>
      <c r="Y4" s="7" t="s">
        <v>321</v>
      </c>
      <c r="Z4" s="7" t="s">
        <v>322</v>
      </c>
      <c r="AA4" s="7" t="s">
        <v>293</v>
      </c>
      <c r="AB4" s="7" t="s">
        <v>255</v>
      </c>
      <c r="AC4" s="7" t="s">
        <v>323</v>
      </c>
      <c r="AD4" s="7" t="s">
        <v>257</v>
      </c>
      <c r="AE4" s="7" t="s">
        <v>324</v>
      </c>
      <c r="AF4" s="7" t="s">
        <v>268</v>
      </c>
      <c r="AG4" s="7" t="s">
        <v>325</v>
      </c>
      <c r="AH4" s="7" t="s">
        <v>326</v>
      </c>
      <c r="AI4" s="7" t="s">
        <v>327</v>
      </c>
      <c r="AJ4" s="7" t="s">
        <v>265</v>
      </c>
      <c r="AK4" s="7" t="s">
        <v>328</v>
      </c>
      <c r="AL4" s="7" t="s">
        <v>264</v>
      </c>
      <c r="AM4" s="7" t="s">
        <v>265</v>
      </c>
      <c r="AN4" s="7" t="s">
        <v>265</v>
      </c>
      <c r="AO4" s="7" t="s">
        <v>329</v>
      </c>
      <c r="AP4" s="7" t="s">
        <v>330</v>
      </c>
      <c r="AQ4" s="7" t="s">
        <v>268</v>
      </c>
      <c r="AR4" s="7" t="s">
        <v>331</v>
      </c>
      <c r="AS4" s="7" t="s">
        <v>332</v>
      </c>
      <c r="AT4" s="7" t="s">
        <v>333</v>
      </c>
      <c r="AU4" s="7" t="s">
        <v>272</v>
      </c>
      <c r="AV4" s="7" t="s">
        <v>334</v>
      </c>
      <c r="AW4" s="7" t="s">
        <v>335</v>
      </c>
      <c r="AX4" s="7" t="s">
        <v>336</v>
      </c>
      <c r="AY4" s="7" t="s">
        <v>268</v>
      </c>
    </row>
    <row r="5" spans="1:51" ht="20.25" customHeight="1">
      <c r="A5" s="12">
        <v>45029.687120613424</v>
      </c>
      <c r="B5" s="13" t="s">
        <v>276</v>
      </c>
      <c r="C5" s="13">
        <v>2</v>
      </c>
      <c r="D5" s="13" t="s">
        <v>15</v>
      </c>
      <c r="E5" s="13" t="s">
        <v>16</v>
      </c>
      <c r="F5" s="13">
        <v>2022</v>
      </c>
      <c r="G5" s="13" t="s">
        <v>11</v>
      </c>
      <c r="H5" s="13" t="s">
        <v>12</v>
      </c>
      <c r="I5" s="13" t="s">
        <v>13</v>
      </c>
      <c r="J5" s="13">
        <v>1</v>
      </c>
      <c r="K5" s="13" t="s">
        <v>337</v>
      </c>
      <c r="L5" s="13" t="s">
        <v>338</v>
      </c>
      <c r="M5" s="13" t="s">
        <v>339</v>
      </c>
      <c r="N5" s="13" t="s">
        <v>340</v>
      </c>
      <c r="O5" s="13" t="s">
        <v>340</v>
      </c>
      <c r="P5" s="13" t="s">
        <v>341</v>
      </c>
      <c r="Q5" s="13" t="s">
        <v>342</v>
      </c>
      <c r="R5" s="13" t="s">
        <v>343</v>
      </c>
      <c r="S5" s="13" t="s">
        <v>317</v>
      </c>
      <c r="T5" s="13" t="s">
        <v>344</v>
      </c>
      <c r="U5" s="13" t="s">
        <v>345</v>
      </c>
      <c r="V5" s="13" t="s">
        <v>346</v>
      </c>
      <c r="W5" s="13" t="s">
        <v>290</v>
      </c>
      <c r="X5" s="13" t="s">
        <v>291</v>
      </c>
      <c r="Y5" s="13" t="s">
        <v>321</v>
      </c>
      <c r="Z5" s="13" t="s">
        <v>347</v>
      </c>
      <c r="AA5" s="13" t="s">
        <v>348</v>
      </c>
      <c r="AB5" s="13" t="s">
        <v>255</v>
      </c>
      <c r="AC5" s="13" t="s">
        <v>349</v>
      </c>
      <c r="AD5" s="13" t="s">
        <v>257</v>
      </c>
      <c r="AE5" s="13" t="s">
        <v>350</v>
      </c>
      <c r="AF5" s="13" t="s">
        <v>351</v>
      </c>
      <c r="AG5" s="13" t="s">
        <v>352</v>
      </c>
      <c r="AH5" s="13" t="s">
        <v>353</v>
      </c>
      <c r="AI5" s="13" t="s">
        <v>354</v>
      </c>
      <c r="AJ5" s="13" t="s">
        <v>265</v>
      </c>
      <c r="AK5" s="13" t="s">
        <v>355</v>
      </c>
      <c r="AL5" s="13" t="s">
        <v>356</v>
      </c>
      <c r="AM5" s="13" t="s">
        <v>262</v>
      </c>
      <c r="AN5" s="13" t="s">
        <v>265</v>
      </c>
      <c r="AO5" s="13" t="s">
        <v>357</v>
      </c>
      <c r="AP5" s="13" t="s">
        <v>358</v>
      </c>
      <c r="AQ5" s="13" t="s">
        <v>268</v>
      </c>
      <c r="AR5" s="13"/>
      <c r="AS5" s="13" t="s">
        <v>359</v>
      </c>
      <c r="AT5" s="13" t="s">
        <v>360</v>
      </c>
      <c r="AU5" s="13" t="s">
        <v>305</v>
      </c>
      <c r="AV5" s="13" t="s">
        <v>361</v>
      </c>
      <c r="AW5" s="13" t="s">
        <v>362</v>
      </c>
      <c r="AX5" s="13" t="s">
        <v>363</v>
      </c>
      <c r="AY5" s="13" t="s">
        <v>268</v>
      </c>
    </row>
    <row r="6" spans="1:51" ht="18" customHeight="1">
      <c r="A6" s="9">
        <v>45005.624119305554</v>
      </c>
      <c r="B6" s="7" t="s">
        <v>237</v>
      </c>
      <c r="C6" s="10">
        <v>3</v>
      </c>
      <c r="D6" s="10" t="s">
        <v>18</v>
      </c>
      <c r="E6" s="7" t="s">
        <v>19</v>
      </c>
      <c r="F6" s="7">
        <v>2021</v>
      </c>
      <c r="G6" s="7" t="s">
        <v>11</v>
      </c>
      <c r="H6" s="7" t="s">
        <v>12</v>
      </c>
      <c r="I6" s="7" t="s">
        <v>20</v>
      </c>
      <c r="J6" s="7">
        <v>4</v>
      </c>
      <c r="K6" s="7" t="s">
        <v>364</v>
      </c>
      <c r="L6" s="7" t="s">
        <v>365</v>
      </c>
      <c r="M6" s="7" t="s">
        <v>366</v>
      </c>
      <c r="N6" s="7" t="s">
        <v>367</v>
      </c>
      <c r="O6" s="7" t="s">
        <v>368</v>
      </c>
      <c r="P6" s="7" t="s">
        <v>369</v>
      </c>
      <c r="Q6" s="7" t="s">
        <v>370</v>
      </c>
      <c r="R6" s="7" t="s">
        <v>371</v>
      </c>
      <c r="S6" s="7" t="s">
        <v>246</v>
      </c>
      <c r="T6" s="7" t="s">
        <v>372</v>
      </c>
      <c r="U6" s="7" t="s">
        <v>373</v>
      </c>
      <c r="V6" s="7" t="s">
        <v>374</v>
      </c>
      <c r="W6" s="7" t="s">
        <v>375</v>
      </c>
      <c r="X6" s="7" t="s">
        <v>376</v>
      </c>
      <c r="Y6" s="7" t="s">
        <v>377</v>
      </c>
      <c r="Z6" s="7" t="s">
        <v>378</v>
      </c>
      <c r="AA6" s="7" t="s">
        <v>378</v>
      </c>
      <c r="AB6" s="7" t="s">
        <v>379</v>
      </c>
      <c r="AC6" s="7" t="s">
        <v>380</v>
      </c>
      <c r="AD6" s="7" t="s">
        <v>257</v>
      </c>
      <c r="AE6" s="7" t="s">
        <v>381</v>
      </c>
      <c r="AF6" s="7" t="s">
        <v>351</v>
      </c>
      <c r="AG6" s="7"/>
      <c r="AH6" s="7" t="s">
        <v>382</v>
      </c>
      <c r="AI6" s="7" t="s">
        <v>383</v>
      </c>
      <c r="AJ6" s="7" t="s">
        <v>265</v>
      </c>
      <c r="AK6" s="7" t="s">
        <v>384</v>
      </c>
      <c r="AL6" s="7" t="s">
        <v>264</v>
      </c>
      <c r="AM6" s="7" t="s">
        <v>385</v>
      </c>
      <c r="AN6" s="7"/>
      <c r="AO6" s="7"/>
      <c r="AP6" s="7" t="s">
        <v>386</v>
      </c>
      <c r="AQ6" s="7" t="s">
        <v>268</v>
      </c>
      <c r="AR6" s="7" t="s">
        <v>387</v>
      </c>
      <c r="AS6" s="7"/>
      <c r="AT6" s="7" t="s">
        <v>388</v>
      </c>
      <c r="AU6" s="7" t="s">
        <v>272</v>
      </c>
      <c r="AV6" s="7" t="s">
        <v>270</v>
      </c>
      <c r="AW6" s="7" t="s">
        <v>389</v>
      </c>
      <c r="AX6" s="7" t="s">
        <v>390</v>
      </c>
      <c r="AY6" s="7" t="s">
        <v>268</v>
      </c>
    </row>
    <row r="7" spans="1:51" ht="19.5" customHeight="1">
      <c r="A7" s="12">
        <v>45016.436210659725</v>
      </c>
      <c r="B7" s="13" t="s">
        <v>276</v>
      </c>
      <c r="C7" s="13">
        <v>3</v>
      </c>
      <c r="D7" s="13" t="s">
        <v>18</v>
      </c>
      <c r="E7" s="13" t="s">
        <v>19</v>
      </c>
      <c r="F7" s="13">
        <v>2021</v>
      </c>
      <c r="G7" s="13" t="s">
        <v>11</v>
      </c>
      <c r="H7" s="13" t="s">
        <v>12</v>
      </c>
      <c r="I7" s="13" t="s">
        <v>20</v>
      </c>
      <c r="J7" s="13">
        <v>4</v>
      </c>
      <c r="K7" s="13" t="s">
        <v>391</v>
      </c>
      <c r="L7" s="13" t="s">
        <v>392</v>
      </c>
      <c r="M7" s="13" t="s">
        <v>393</v>
      </c>
      <c r="N7" s="13" t="s">
        <v>394</v>
      </c>
      <c r="O7" s="13" t="s">
        <v>395</v>
      </c>
      <c r="P7" s="13" t="s">
        <v>396</v>
      </c>
      <c r="Q7" s="13" t="s">
        <v>397</v>
      </c>
      <c r="R7" s="13" t="s">
        <v>398</v>
      </c>
      <c r="S7" s="13" t="s">
        <v>246</v>
      </c>
      <c r="T7" s="13" t="s">
        <v>399</v>
      </c>
      <c r="U7" s="13" t="s">
        <v>400</v>
      </c>
      <c r="V7" s="13"/>
      <c r="W7" s="13" t="s">
        <v>290</v>
      </c>
      <c r="X7" s="13" t="s">
        <v>291</v>
      </c>
      <c r="Y7" s="13" t="s">
        <v>377</v>
      </c>
      <c r="Z7" s="13" t="s">
        <v>401</v>
      </c>
      <c r="AA7" s="13" t="s">
        <v>402</v>
      </c>
      <c r="AB7" s="13" t="s">
        <v>255</v>
      </c>
      <c r="AC7" s="13" t="s">
        <v>403</v>
      </c>
      <c r="AD7" s="13" t="s">
        <v>257</v>
      </c>
      <c r="AE7" s="13"/>
      <c r="AF7" s="13" t="s">
        <v>351</v>
      </c>
      <c r="AG7" s="13" t="s">
        <v>404</v>
      </c>
      <c r="AH7" s="14" t="s">
        <v>405</v>
      </c>
      <c r="AI7" s="13"/>
      <c r="AJ7" s="13" t="s">
        <v>262</v>
      </c>
      <c r="AK7" s="13" t="s">
        <v>328</v>
      </c>
      <c r="AL7" s="13" t="s">
        <v>406</v>
      </c>
      <c r="AM7" s="13" t="s">
        <v>262</v>
      </c>
      <c r="AN7" s="13" t="s">
        <v>262</v>
      </c>
      <c r="AO7" s="13" t="s">
        <v>407</v>
      </c>
      <c r="AP7" s="13" t="s">
        <v>408</v>
      </c>
      <c r="AQ7" s="13" t="s">
        <v>409</v>
      </c>
      <c r="AR7" s="13" t="s">
        <v>410</v>
      </c>
      <c r="AS7" s="13" t="s">
        <v>404</v>
      </c>
      <c r="AT7" s="13" t="s">
        <v>411</v>
      </c>
      <c r="AU7" s="13" t="s">
        <v>305</v>
      </c>
      <c r="AV7" s="13" t="s">
        <v>412</v>
      </c>
      <c r="AW7" s="13" t="s">
        <v>413</v>
      </c>
      <c r="AX7" s="13" t="s">
        <v>414</v>
      </c>
      <c r="AY7" s="13" t="s">
        <v>415</v>
      </c>
    </row>
    <row r="8" spans="1:51" ht="21" customHeight="1">
      <c r="A8" s="9">
        <v>45005.800271574073</v>
      </c>
      <c r="B8" s="7" t="s">
        <v>237</v>
      </c>
      <c r="C8" s="7">
        <v>4</v>
      </c>
      <c r="D8" s="7" t="s">
        <v>22</v>
      </c>
      <c r="E8" s="7" t="s">
        <v>23</v>
      </c>
      <c r="F8" s="7">
        <v>2022</v>
      </c>
      <c r="G8" s="7" t="s">
        <v>24</v>
      </c>
      <c r="H8" s="7" t="s">
        <v>25</v>
      </c>
      <c r="I8" s="7" t="s">
        <v>13</v>
      </c>
      <c r="J8" s="7">
        <v>0</v>
      </c>
      <c r="K8" s="7" t="s">
        <v>416</v>
      </c>
      <c r="L8" s="7" t="s">
        <v>417</v>
      </c>
      <c r="M8" s="7" t="s">
        <v>418</v>
      </c>
      <c r="N8" s="10" t="s">
        <v>312</v>
      </c>
      <c r="O8" s="7" t="s">
        <v>419</v>
      </c>
      <c r="P8" s="7" t="s">
        <v>420</v>
      </c>
      <c r="Q8" s="7" t="s">
        <v>421</v>
      </c>
      <c r="R8" s="7" t="s">
        <v>422</v>
      </c>
      <c r="S8" s="7" t="s">
        <v>246</v>
      </c>
      <c r="T8" s="7" t="s">
        <v>423</v>
      </c>
      <c r="U8" s="7" t="s">
        <v>424</v>
      </c>
      <c r="V8" s="7" t="s">
        <v>425</v>
      </c>
      <c r="W8" s="7" t="s">
        <v>250</v>
      </c>
      <c r="X8" s="7" t="s">
        <v>251</v>
      </c>
      <c r="Y8" s="7" t="s">
        <v>252</v>
      </c>
      <c r="Z8" s="7" t="s">
        <v>426</v>
      </c>
      <c r="AA8" s="7" t="s">
        <v>427</v>
      </c>
      <c r="AB8" s="7" t="s">
        <v>255</v>
      </c>
      <c r="AC8" s="7" t="s">
        <v>428</v>
      </c>
      <c r="AD8" s="7" t="s">
        <v>257</v>
      </c>
      <c r="AE8" s="7" t="s">
        <v>429</v>
      </c>
      <c r="AF8" s="7" t="s">
        <v>268</v>
      </c>
      <c r="AG8" s="7" t="s">
        <v>430</v>
      </c>
      <c r="AH8" s="7" t="s">
        <v>431</v>
      </c>
      <c r="AI8" s="7" t="s">
        <v>262</v>
      </c>
      <c r="AJ8" s="7" t="s">
        <v>262</v>
      </c>
      <c r="AK8" s="7" t="s">
        <v>432</v>
      </c>
      <c r="AL8" s="7" t="s">
        <v>264</v>
      </c>
      <c r="AM8" s="7" t="s">
        <v>433</v>
      </c>
      <c r="AN8" s="7" t="s">
        <v>262</v>
      </c>
      <c r="AO8" s="7" t="s">
        <v>386</v>
      </c>
      <c r="AP8" s="7" t="s">
        <v>386</v>
      </c>
      <c r="AQ8" s="7" t="s">
        <v>268</v>
      </c>
      <c r="AR8" s="7" t="s">
        <v>434</v>
      </c>
      <c r="AS8" s="7" t="s">
        <v>435</v>
      </c>
      <c r="AT8" s="7" t="s">
        <v>436</v>
      </c>
      <c r="AU8" s="7" t="s">
        <v>272</v>
      </c>
      <c r="AV8" s="7" t="s">
        <v>437</v>
      </c>
      <c r="AW8" s="7" t="s">
        <v>438</v>
      </c>
      <c r="AX8" s="7" t="s">
        <v>439</v>
      </c>
      <c r="AY8" s="7" t="s">
        <v>415</v>
      </c>
    </row>
    <row r="9" spans="1:51" ht="20.25" customHeight="1">
      <c r="A9" s="9">
        <v>45006.592832511575</v>
      </c>
      <c r="B9" s="7" t="s">
        <v>237</v>
      </c>
      <c r="C9" s="10">
        <v>5</v>
      </c>
      <c r="D9" s="10" t="s">
        <v>27</v>
      </c>
      <c r="E9" s="7" t="s">
        <v>28</v>
      </c>
      <c r="F9" s="7">
        <v>2019</v>
      </c>
      <c r="G9" s="7" t="s">
        <v>24</v>
      </c>
      <c r="H9" s="7" t="s">
        <v>25</v>
      </c>
      <c r="I9" s="7" t="s">
        <v>20</v>
      </c>
      <c r="J9" s="7">
        <v>10</v>
      </c>
      <c r="K9" s="7" t="s">
        <v>440</v>
      </c>
      <c r="L9" s="7" t="s">
        <v>441</v>
      </c>
      <c r="M9" s="7" t="s">
        <v>442</v>
      </c>
      <c r="N9" s="7" t="s">
        <v>443</v>
      </c>
      <c r="O9" s="7" t="s">
        <v>444</v>
      </c>
      <c r="P9" s="7" t="s">
        <v>445</v>
      </c>
      <c r="Q9" s="7" t="s">
        <v>446</v>
      </c>
      <c r="R9" s="7" t="s">
        <v>447</v>
      </c>
      <c r="S9" s="7" t="s">
        <v>317</v>
      </c>
      <c r="T9" s="7" t="s">
        <v>448</v>
      </c>
      <c r="U9" s="7" t="s">
        <v>449</v>
      </c>
      <c r="V9" s="7" t="s">
        <v>450</v>
      </c>
      <c r="W9" s="7" t="s">
        <v>290</v>
      </c>
      <c r="X9" s="7" t="s">
        <v>291</v>
      </c>
      <c r="Y9" s="7" t="s">
        <v>321</v>
      </c>
      <c r="Z9" s="7" t="s">
        <v>451</v>
      </c>
      <c r="AA9" s="7" t="s">
        <v>452</v>
      </c>
      <c r="AB9" s="7" t="s">
        <v>255</v>
      </c>
      <c r="AC9" s="7" t="s">
        <v>453</v>
      </c>
      <c r="AD9" s="7" t="s">
        <v>257</v>
      </c>
      <c r="AE9" s="7" t="s">
        <v>454</v>
      </c>
      <c r="AF9" s="7" t="s">
        <v>259</v>
      </c>
      <c r="AG9" s="7" t="s">
        <v>455</v>
      </c>
      <c r="AH9" s="7" t="s">
        <v>456</v>
      </c>
      <c r="AI9" s="7" t="s">
        <v>262</v>
      </c>
      <c r="AJ9" s="7" t="s">
        <v>262</v>
      </c>
      <c r="AK9" s="7" t="s">
        <v>457</v>
      </c>
      <c r="AL9" s="7" t="s">
        <v>264</v>
      </c>
      <c r="AM9" s="7" t="s">
        <v>385</v>
      </c>
      <c r="AN9" s="7"/>
      <c r="AO9" s="7"/>
      <c r="AP9" s="7" t="s">
        <v>458</v>
      </c>
      <c r="AQ9" s="7" t="s">
        <v>409</v>
      </c>
      <c r="AR9" s="7"/>
      <c r="AS9" s="7"/>
      <c r="AT9" s="7" t="s">
        <v>459</v>
      </c>
      <c r="AU9" s="7" t="s">
        <v>305</v>
      </c>
      <c r="AV9" s="7" t="s">
        <v>270</v>
      </c>
      <c r="AW9" s="7" t="s">
        <v>460</v>
      </c>
      <c r="AX9" s="7" t="s">
        <v>270</v>
      </c>
      <c r="AY9" s="7" t="s">
        <v>268</v>
      </c>
    </row>
    <row r="10" spans="1:51" ht="20.25" customHeight="1">
      <c r="A10" s="12">
        <v>45020.54826181713</v>
      </c>
      <c r="B10" s="13" t="s">
        <v>461</v>
      </c>
      <c r="C10" s="13">
        <v>5</v>
      </c>
      <c r="D10" s="13" t="s">
        <v>27</v>
      </c>
      <c r="E10" s="13" t="s">
        <v>28</v>
      </c>
      <c r="F10" s="13">
        <v>2019</v>
      </c>
      <c r="G10" s="13" t="s">
        <v>462</v>
      </c>
      <c r="H10" s="13" t="s">
        <v>25</v>
      </c>
      <c r="I10" s="13" t="s">
        <v>20</v>
      </c>
      <c r="J10" s="13">
        <v>10</v>
      </c>
      <c r="K10" s="13" t="s">
        <v>463</v>
      </c>
      <c r="L10" s="13" t="s">
        <v>464</v>
      </c>
      <c r="M10" s="13" t="s">
        <v>465</v>
      </c>
      <c r="N10" s="13" t="s">
        <v>466</v>
      </c>
      <c r="O10" s="13" t="s">
        <v>467</v>
      </c>
      <c r="P10" s="13" t="s">
        <v>468</v>
      </c>
      <c r="Q10" s="13" t="s">
        <v>469</v>
      </c>
      <c r="R10" s="13" t="s">
        <v>470</v>
      </c>
      <c r="S10" s="13" t="s">
        <v>317</v>
      </c>
      <c r="T10" s="13" t="s">
        <v>471</v>
      </c>
      <c r="U10" s="13" t="s">
        <v>472</v>
      </c>
      <c r="V10" s="13" t="s">
        <v>473</v>
      </c>
      <c r="W10" s="13" t="s">
        <v>290</v>
      </c>
      <c r="X10" s="13" t="s">
        <v>291</v>
      </c>
      <c r="Y10" s="13" t="s">
        <v>321</v>
      </c>
      <c r="Z10" s="13" t="s">
        <v>474</v>
      </c>
      <c r="AA10" s="13" t="s">
        <v>452</v>
      </c>
      <c r="AB10" s="13" t="s">
        <v>255</v>
      </c>
      <c r="AC10" s="13" t="s">
        <v>475</v>
      </c>
      <c r="AD10" s="13" t="s">
        <v>257</v>
      </c>
      <c r="AE10" s="13" t="s">
        <v>476</v>
      </c>
      <c r="AF10" s="13" t="s">
        <v>259</v>
      </c>
      <c r="AG10" s="13" t="s">
        <v>477</v>
      </c>
      <c r="AH10" s="13" t="s">
        <v>478</v>
      </c>
      <c r="AI10" s="13" t="s">
        <v>351</v>
      </c>
      <c r="AJ10" s="13" t="s">
        <v>262</v>
      </c>
      <c r="AK10" s="13" t="s">
        <v>479</v>
      </c>
      <c r="AL10" s="13" t="s">
        <v>480</v>
      </c>
      <c r="AM10" s="13" t="s">
        <v>262</v>
      </c>
      <c r="AN10" s="13" t="s">
        <v>262</v>
      </c>
      <c r="AO10" s="13" t="s">
        <v>386</v>
      </c>
      <c r="AP10" s="13" t="s">
        <v>386</v>
      </c>
      <c r="AQ10" s="13" t="s">
        <v>268</v>
      </c>
      <c r="AR10" s="13" t="s">
        <v>386</v>
      </c>
      <c r="AS10" s="13" t="s">
        <v>386</v>
      </c>
      <c r="AT10" s="13" t="s">
        <v>481</v>
      </c>
      <c r="AU10" s="13" t="s">
        <v>305</v>
      </c>
      <c r="AV10" s="13"/>
      <c r="AW10" s="13" t="s">
        <v>482</v>
      </c>
      <c r="AX10" s="13" t="s">
        <v>483</v>
      </c>
      <c r="AY10" s="13" t="s">
        <v>415</v>
      </c>
    </row>
    <row r="11" spans="1:51" ht="18" customHeight="1">
      <c r="A11" s="9">
        <v>45007.525876446758</v>
      </c>
      <c r="B11" s="7" t="s">
        <v>237</v>
      </c>
      <c r="C11" s="10">
        <v>6</v>
      </c>
      <c r="D11" s="10" t="s">
        <v>30</v>
      </c>
      <c r="E11" s="7" t="s">
        <v>31</v>
      </c>
      <c r="F11" s="7">
        <v>2021</v>
      </c>
      <c r="G11" s="7" t="s">
        <v>24</v>
      </c>
      <c r="H11" s="7" t="s">
        <v>25</v>
      </c>
      <c r="I11" s="7" t="s">
        <v>20</v>
      </c>
      <c r="J11" s="7">
        <v>2</v>
      </c>
      <c r="K11" s="7" t="s">
        <v>484</v>
      </c>
      <c r="L11" s="7" t="s">
        <v>485</v>
      </c>
      <c r="M11" s="7" t="s">
        <v>486</v>
      </c>
      <c r="N11" s="7" t="s">
        <v>487</v>
      </c>
      <c r="O11" s="7" t="s">
        <v>313</v>
      </c>
      <c r="P11" s="7" t="s">
        <v>488</v>
      </c>
      <c r="Q11" s="7" t="s">
        <v>489</v>
      </c>
      <c r="R11" s="7" t="s">
        <v>490</v>
      </c>
      <c r="S11" s="7" t="s">
        <v>317</v>
      </c>
      <c r="T11" s="7" t="s">
        <v>491</v>
      </c>
      <c r="U11" s="7" t="s">
        <v>492</v>
      </c>
      <c r="V11" s="7" t="s">
        <v>493</v>
      </c>
      <c r="W11" s="7" t="s">
        <v>290</v>
      </c>
      <c r="X11" s="7" t="s">
        <v>494</v>
      </c>
      <c r="Y11" s="7" t="s">
        <v>321</v>
      </c>
      <c r="Z11" s="7" t="s">
        <v>495</v>
      </c>
      <c r="AA11" s="7" t="s">
        <v>496</v>
      </c>
      <c r="AB11" s="7" t="s">
        <v>255</v>
      </c>
      <c r="AC11" s="7" t="s">
        <v>497</v>
      </c>
      <c r="AD11" s="7" t="s">
        <v>257</v>
      </c>
      <c r="AE11" s="7" t="s">
        <v>498</v>
      </c>
      <c r="AF11" s="10" t="s">
        <v>259</v>
      </c>
      <c r="AG11" s="7" t="s">
        <v>499</v>
      </c>
      <c r="AH11" s="7" t="s">
        <v>500</v>
      </c>
      <c r="AI11" s="7" t="s">
        <v>262</v>
      </c>
      <c r="AJ11" s="7" t="s">
        <v>262</v>
      </c>
      <c r="AK11" s="7" t="s">
        <v>457</v>
      </c>
      <c r="AL11" s="7"/>
      <c r="AM11" s="7" t="s">
        <v>385</v>
      </c>
      <c r="AN11" s="7"/>
      <c r="AO11" s="7"/>
      <c r="AP11" s="7" t="s">
        <v>501</v>
      </c>
      <c r="AQ11" s="7" t="s">
        <v>409</v>
      </c>
      <c r="AR11" s="7"/>
      <c r="AS11" s="7"/>
      <c r="AT11" s="7" t="s">
        <v>502</v>
      </c>
      <c r="AU11" s="7" t="s">
        <v>305</v>
      </c>
      <c r="AV11" s="7" t="s">
        <v>503</v>
      </c>
      <c r="AW11" s="7" t="s">
        <v>504</v>
      </c>
      <c r="AX11" s="7" t="s">
        <v>505</v>
      </c>
      <c r="AY11" s="7" t="s">
        <v>268</v>
      </c>
    </row>
    <row r="12" spans="1:51" ht="19.5" customHeight="1">
      <c r="A12" s="12">
        <v>45022.473446458331</v>
      </c>
      <c r="B12" s="13" t="s">
        <v>461</v>
      </c>
      <c r="C12" s="13">
        <v>6</v>
      </c>
      <c r="D12" s="13" t="s">
        <v>30</v>
      </c>
      <c r="E12" s="13" t="s">
        <v>31</v>
      </c>
      <c r="F12" s="13">
        <v>2021</v>
      </c>
      <c r="G12" s="13" t="s">
        <v>506</v>
      </c>
      <c r="H12" s="13" t="s">
        <v>25</v>
      </c>
      <c r="I12" s="13" t="s">
        <v>20</v>
      </c>
      <c r="J12" s="13">
        <v>2</v>
      </c>
      <c r="K12" s="13" t="s">
        <v>507</v>
      </c>
      <c r="L12" s="13" t="s">
        <v>508</v>
      </c>
      <c r="M12" s="13" t="s">
        <v>509</v>
      </c>
      <c r="N12" s="13" t="s">
        <v>386</v>
      </c>
      <c r="O12" s="13" t="s">
        <v>510</v>
      </c>
      <c r="P12" s="13" t="s">
        <v>488</v>
      </c>
      <c r="Q12" s="13" t="s">
        <v>511</v>
      </c>
      <c r="R12" s="13" t="s">
        <v>512</v>
      </c>
      <c r="S12" s="13" t="s">
        <v>317</v>
      </c>
      <c r="T12" s="13" t="s">
        <v>386</v>
      </c>
      <c r="U12" s="13" t="s">
        <v>513</v>
      </c>
      <c r="V12" s="13" t="s">
        <v>386</v>
      </c>
      <c r="W12" s="13" t="s">
        <v>514</v>
      </c>
      <c r="X12" s="13" t="s">
        <v>515</v>
      </c>
      <c r="Y12" s="13" t="s">
        <v>321</v>
      </c>
      <c r="Z12" s="13" t="s">
        <v>516</v>
      </c>
      <c r="AA12" s="13" t="s">
        <v>517</v>
      </c>
      <c r="AB12" s="13" t="s">
        <v>379</v>
      </c>
      <c r="AC12" s="13" t="s">
        <v>518</v>
      </c>
      <c r="AD12" s="13" t="s">
        <v>257</v>
      </c>
      <c r="AE12" s="13" t="s">
        <v>510</v>
      </c>
      <c r="AF12" s="13" t="s">
        <v>351</v>
      </c>
      <c r="AG12" s="13" t="s">
        <v>519</v>
      </c>
      <c r="AH12" s="13" t="s">
        <v>520</v>
      </c>
      <c r="AI12" s="13" t="s">
        <v>351</v>
      </c>
      <c r="AJ12" s="13" t="s">
        <v>262</v>
      </c>
      <c r="AK12" s="13" t="s">
        <v>521</v>
      </c>
      <c r="AL12" s="13" t="s">
        <v>522</v>
      </c>
      <c r="AM12" s="13" t="s">
        <v>262</v>
      </c>
      <c r="AN12" s="13" t="s">
        <v>262</v>
      </c>
      <c r="AO12" s="13" t="s">
        <v>523</v>
      </c>
      <c r="AP12" s="13" t="s">
        <v>524</v>
      </c>
      <c r="AQ12" s="13" t="s">
        <v>268</v>
      </c>
      <c r="AR12" s="13" t="s">
        <v>386</v>
      </c>
      <c r="AS12" s="13" t="s">
        <v>386</v>
      </c>
      <c r="AT12" s="13" t="s">
        <v>525</v>
      </c>
      <c r="AU12" s="13" t="s">
        <v>305</v>
      </c>
      <c r="AV12" s="13" t="s">
        <v>526</v>
      </c>
      <c r="AW12" s="13" t="s">
        <v>527</v>
      </c>
      <c r="AX12" s="13" t="s">
        <v>528</v>
      </c>
      <c r="AY12" s="13" t="s">
        <v>415</v>
      </c>
    </row>
    <row r="13" spans="1:51" ht="18" customHeight="1">
      <c r="A13" s="9">
        <v>45007.601659386579</v>
      </c>
      <c r="B13" s="7" t="s">
        <v>237</v>
      </c>
      <c r="C13" s="10">
        <v>7</v>
      </c>
      <c r="D13" s="7" t="s">
        <v>33</v>
      </c>
      <c r="E13" s="7" t="s">
        <v>34</v>
      </c>
      <c r="F13" s="7">
        <v>2020</v>
      </c>
      <c r="G13" s="7" t="s">
        <v>529</v>
      </c>
      <c r="H13" s="7" t="s">
        <v>12</v>
      </c>
      <c r="I13" s="7" t="s">
        <v>20</v>
      </c>
      <c r="J13" s="7">
        <v>1</v>
      </c>
      <c r="K13" s="7" t="s">
        <v>530</v>
      </c>
      <c r="L13" s="7" t="s">
        <v>531</v>
      </c>
      <c r="M13" s="7" t="s">
        <v>532</v>
      </c>
      <c r="N13" s="10" t="s">
        <v>312</v>
      </c>
      <c r="O13" s="7" t="s">
        <v>419</v>
      </c>
      <c r="P13" s="7" t="s">
        <v>533</v>
      </c>
      <c r="Q13" s="7" t="s">
        <v>534</v>
      </c>
      <c r="R13" s="7" t="s">
        <v>535</v>
      </c>
      <c r="S13" s="7" t="s">
        <v>317</v>
      </c>
      <c r="T13" s="7" t="s">
        <v>536</v>
      </c>
      <c r="U13" s="7" t="s">
        <v>537</v>
      </c>
      <c r="V13" s="7" t="s">
        <v>538</v>
      </c>
      <c r="W13" s="7" t="s">
        <v>290</v>
      </c>
      <c r="X13" s="7" t="s">
        <v>291</v>
      </c>
      <c r="Y13" s="7" t="s">
        <v>252</v>
      </c>
      <c r="Z13" s="7" t="s">
        <v>539</v>
      </c>
      <c r="AA13" s="7" t="s">
        <v>540</v>
      </c>
      <c r="AB13" s="7" t="s">
        <v>255</v>
      </c>
      <c r="AC13" s="7" t="s">
        <v>541</v>
      </c>
      <c r="AD13" s="7" t="s">
        <v>257</v>
      </c>
      <c r="AE13" s="7" t="s">
        <v>542</v>
      </c>
      <c r="AF13" s="7" t="s">
        <v>268</v>
      </c>
      <c r="AG13" s="7" t="s">
        <v>543</v>
      </c>
      <c r="AH13" s="7" t="s">
        <v>544</v>
      </c>
      <c r="AI13" s="7" t="s">
        <v>545</v>
      </c>
      <c r="AJ13" s="7" t="s">
        <v>262</v>
      </c>
      <c r="AK13" s="7" t="s">
        <v>432</v>
      </c>
      <c r="AL13" s="7" t="s">
        <v>264</v>
      </c>
      <c r="AM13" s="7" t="s">
        <v>262</v>
      </c>
      <c r="AN13" s="7"/>
      <c r="AO13" s="7" t="s">
        <v>546</v>
      </c>
      <c r="AP13" s="7" t="s">
        <v>547</v>
      </c>
      <c r="AQ13" s="7" t="s">
        <v>268</v>
      </c>
      <c r="AR13" s="7" t="s">
        <v>548</v>
      </c>
      <c r="AS13" s="7" t="s">
        <v>270</v>
      </c>
      <c r="AT13" s="7" t="s">
        <v>549</v>
      </c>
      <c r="AU13" s="7" t="s">
        <v>305</v>
      </c>
      <c r="AV13" s="7" t="s">
        <v>270</v>
      </c>
      <c r="AW13" s="7" t="s">
        <v>550</v>
      </c>
      <c r="AX13" s="7" t="s">
        <v>551</v>
      </c>
      <c r="AY13" s="7" t="s">
        <v>351</v>
      </c>
    </row>
    <row r="14" spans="1:51" ht="19.5" customHeight="1">
      <c r="A14" s="9">
        <v>45007.911350300928</v>
      </c>
      <c r="B14" s="7" t="s">
        <v>237</v>
      </c>
      <c r="C14" s="10">
        <v>8</v>
      </c>
      <c r="D14" s="10" t="s">
        <v>37</v>
      </c>
      <c r="E14" s="7" t="s">
        <v>38</v>
      </c>
      <c r="F14" s="7">
        <v>2019</v>
      </c>
      <c r="G14" s="7" t="s">
        <v>11</v>
      </c>
      <c r="H14" s="7" t="s">
        <v>12</v>
      </c>
      <c r="I14" s="7" t="s">
        <v>20</v>
      </c>
      <c r="J14" s="7">
        <v>21</v>
      </c>
      <c r="K14" s="7" t="s">
        <v>552</v>
      </c>
      <c r="L14" s="7" t="s">
        <v>553</v>
      </c>
      <c r="M14" s="7" t="s">
        <v>554</v>
      </c>
      <c r="N14" s="7" t="s">
        <v>555</v>
      </c>
      <c r="O14" s="7" t="s">
        <v>556</v>
      </c>
      <c r="P14" s="7" t="s">
        <v>557</v>
      </c>
      <c r="Q14" s="7" t="s">
        <v>558</v>
      </c>
      <c r="R14" s="7" t="s">
        <v>559</v>
      </c>
      <c r="S14" s="7" t="s">
        <v>317</v>
      </c>
      <c r="T14" s="7" t="s">
        <v>560</v>
      </c>
      <c r="U14" s="7" t="s">
        <v>561</v>
      </c>
      <c r="V14" s="7" t="s">
        <v>562</v>
      </c>
      <c r="W14" s="7" t="s">
        <v>290</v>
      </c>
      <c r="X14" s="7" t="s">
        <v>291</v>
      </c>
      <c r="Y14" s="7" t="s">
        <v>321</v>
      </c>
      <c r="Z14" s="7" t="s">
        <v>563</v>
      </c>
      <c r="AA14" s="7" t="s">
        <v>564</v>
      </c>
      <c r="AB14" s="7" t="s">
        <v>255</v>
      </c>
      <c r="AC14" s="7" t="s">
        <v>565</v>
      </c>
      <c r="AD14" s="7" t="s">
        <v>257</v>
      </c>
      <c r="AE14" s="7" t="s">
        <v>566</v>
      </c>
      <c r="AF14" s="7" t="s">
        <v>268</v>
      </c>
      <c r="AG14" s="7" t="s">
        <v>567</v>
      </c>
      <c r="AH14" s="7" t="s">
        <v>568</v>
      </c>
      <c r="AI14" s="7" t="s">
        <v>262</v>
      </c>
      <c r="AJ14" s="7" t="s">
        <v>262</v>
      </c>
      <c r="AK14" s="7" t="s">
        <v>457</v>
      </c>
      <c r="AL14" s="7"/>
      <c r="AM14" s="7" t="s">
        <v>265</v>
      </c>
      <c r="AN14" s="7" t="s">
        <v>265</v>
      </c>
      <c r="AO14" s="7" t="s">
        <v>457</v>
      </c>
      <c r="AP14" s="7" t="s">
        <v>569</v>
      </c>
      <c r="AQ14" s="7" t="s">
        <v>409</v>
      </c>
      <c r="AR14" s="7"/>
      <c r="AS14" s="7"/>
      <c r="AT14" s="7" t="s">
        <v>570</v>
      </c>
      <c r="AU14" s="7" t="s">
        <v>305</v>
      </c>
      <c r="AV14" s="7" t="s">
        <v>270</v>
      </c>
      <c r="AW14" s="7" t="s">
        <v>571</v>
      </c>
      <c r="AX14" s="7" t="s">
        <v>572</v>
      </c>
      <c r="AY14" s="7" t="s">
        <v>268</v>
      </c>
    </row>
    <row r="15" spans="1:51" ht="19.5" customHeight="1">
      <c r="A15" s="12">
        <v>45044.461130138894</v>
      </c>
      <c r="B15" s="13" t="s">
        <v>573</v>
      </c>
      <c r="C15" s="13">
        <v>8</v>
      </c>
      <c r="D15" s="13" t="s">
        <v>37</v>
      </c>
      <c r="E15" s="13" t="s">
        <v>38</v>
      </c>
      <c r="F15" s="13">
        <v>2019</v>
      </c>
      <c r="G15" s="13" t="s">
        <v>574</v>
      </c>
      <c r="H15" s="13" t="s">
        <v>12</v>
      </c>
      <c r="I15" s="13" t="s">
        <v>20</v>
      </c>
      <c r="J15" s="13">
        <v>22</v>
      </c>
      <c r="K15" s="13" t="s">
        <v>575</v>
      </c>
      <c r="L15" s="13" t="s">
        <v>576</v>
      </c>
      <c r="M15" s="13" t="s">
        <v>577</v>
      </c>
      <c r="N15" s="13"/>
      <c r="O15" s="13" t="s">
        <v>578</v>
      </c>
      <c r="P15" s="13" t="s">
        <v>579</v>
      </c>
      <c r="Q15" s="13" t="s">
        <v>580</v>
      </c>
      <c r="R15" s="13" t="s">
        <v>581</v>
      </c>
      <c r="S15" s="13" t="s">
        <v>317</v>
      </c>
      <c r="T15" s="13"/>
      <c r="U15" s="13"/>
      <c r="V15" s="13" t="s">
        <v>582</v>
      </c>
      <c r="W15" s="13" t="s">
        <v>290</v>
      </c>
      <c r="X15" s="13" t="s">
        <v>515</v>
      </c>
      <c r="Y15" s="13"/>
      <c r="Z15" s="13" t="s">
        <v>583</v>
      </c>
      <c r="AA15" s="13" t="s">
        <v>564</v>
      </c>
      <c r="AB15" s="13" t="s">
        <v>379</v>
      </c>
      <c r="AC15" s="13" t="s">
        <v>584</v>
      </c>
      <c r="AD15" s="13" t="s">
        <v>257</v>
      </c>
      <c r="AE15" s="13" t="s">
        <v>585</v>
      </c>
      <c r="AF15" s="13" t="s">
        <v>586</v>
      </c>
      <c r="AG15" s="13" t="s">
        <v>587</v>
      </c>
      <c r="AH15" s="13" t="s">
        <v>588</v>
      </c>
      <c r="AI15" s="13" t="s">
        <v>589</v>
      </c>
      <c r="AJ15" s="13" t="s">
        <v>262</v>
      </c>
      <c r="AK15" s="13" t="s">
        <v>590</v>
      </c>
      <c r="AL15" s="13" t="s">
        <v>591</v>
      </c>
      <c r="AM15" s="13"/>
      <c r="AN15" s="13" t="s">
        <v>262</v>
      </c>
      <c r="AO15" s="13" t="s">
        <v>592</v>
      </c>
      <c r="AP15" s="13" t="s">
        <v>593</v>
      </c>
      <c r="AQ15" s="13" t="s">
        <v>268</v>
      </c>
      <c r="AR15" s="13" t="s">
        <v>594</v>
      </c>
      <c r="AS15" s="13" t="s">
        <v>594</v>
      </c>
      <c r="AT15" s="13" t="s">
        <v>595</v>
      </c>
      <c r="AU15" s="13" t="s">
        <v>265</v>
      </c>
      <c r="AV15" s="13"/>
      <c r="AW15" s="13"/>
      <c r="AX15" s="13"/>
      <c r="AY15" s="13" t="s">
        <v>268</v>
      </c>
    </row>
    <row r="16" spans="1:51" ht="18" customHeight="1">
      <c r="A16" s="9">
        <v>45007.992674525463</v>
      </c>
      <c r="B16" s="7" t="s">
        <v>237</v>
      </c>
      <c r="C16" s="7">
        <v>9</v>
      </c>
      <c r="D16" s="7" t="s">
        <v>40</v>
      </c>
      <c r="E16" s="7" t="s">
        <v>41</v>
      </c>
      <c r="F16" s="7">
        <v>2022</v>
      </c>
      <c r="G16" s="7" t="s">
        <v>42</v>
      </c>
      <c r="H16" s="7" t="s">
        <v>12</v>
      </c>
      <c r="I16" s="7" t="s">
        <v>20</v>
      </c>
      <c r="J16" s="7">
        <v>2</v>
      </c>
      <c r="K16" s="7" t="s">
        <v>596</v>
      </c>
      <c r="L16" s="7" t="s">
        <v>597</v>
      </c>
      <c r="M16" s="7" t="s">
        <v>366</v>
      </c>
      <c r="N16" s="7" t="s">
        <v>598</v>
      </c>
      <c r="O16" s="7" t="s">
        <v>599</v>
      </c>
      <c r="P16" s="7" t="s">
        <v>600</v>
      </c>
      <c r="Q16" s="7" t="s">
        <v>601</v>
      </c>
      <c r="R16" s="7" t="s">
        <v>602</v>
      </c>
      <c r="S16" s="7" t="s">
        <v>317</v>
      </c>
      <c r="T16" s="7" t="s">
        <v>603</v>
      </c>
      <c r="U16" s="7" t="s">
        <v>604</v>
      </c>
      <c r="V16" s="7" t="s">
        <v>605</v>
      </c>
      <c r="W16" s="7" t="s">
        <v>290</v>
      </c>
      <c r="X16" s="7" t="s">
        <v>291</v>
      </c>
      <c r="Y16" s="7" t="s">
        <v>252</v>
      </c>
      <c r="Z16" s="7" t="s">
        <v>606</v>
      </c>
      <c r="AA16" s="7" t="s">
        <v>607</v>
      </c>
      <c r="AB16" s="7" t="s">
        <v>255</v>
      </c>
      <c r="AC16" s="7" t="s">
        <v>608</v>
      </c>
      <c r="AD16" s="7" t="s">
        <v>257</v>
      </c>
      <c r="AE16" s="7" t="s">
        <v>542</v>
      </c>
      <c r="AF16" s="7" t="s">
        <v>268</v>
      </c>
      <c r="AG16" s="7" t="s">
        <v>609</v>
      </c>
      <c r="AH16" s="7" t="s">
        <v>601</v>
      </c>
      <c r="AI16" s="7" t="s">
        <v>262</v>
      </c>
      <c r="AJ16" s="7" t="s">
        <v>262</v>
      </c>
      <c r="AK16" s="7" t="s">
        <v>328</v>
      </c>
      <c r="AL16" s="7" t="s">
        <v>264</v>
      </c>
      <c r="AM16" s="7" t="s">
        <v>385</v>
      </c>
      <c r="AN16" s="7"/>
      <c r="AO16" s="7" t="s">
        <v>610</v>
      </c>
      <c r="AP16" s="7" t="s">
        <v>611</v>
      </c>
      <c r="AQ16" s="7" t="s">
        <v>268</v>
      </c>
      <c r="AR16" s="7" t="s">
        <v>612</v>
      </c>
      <c r="AS16" s="7" t="s">
        <v>270</v>
      </c>
      <c r="AT16" s="7" t="s">
        <v>613</v>
      </c>
      <c r="AU16" s="7" t="s">
        <v>265</v>
      </c>
      <c r="AV16" s="7" t="s">
        <v>614</v>
      </c>
      <c r="AW16" s="7" t="s">
        <v>615</v>
      </c>
      <c r="AX16" s="7" t="s">
        <v>616</v>
      </c>
      <c r="AY16" s="7" t="s">
        <v>268</v>
      </c>
    </row>
    <row r="17" spans="1:51" ht="18.75" customHeight="1">
      <c r="A17" s="9">
        <v>45008.924549085648</v>
      </c>
      <c r="B17" s="7" t="s">
        <v>237</v>
      </c>
      <c r="C17" s="10">
        <v>10</v>
      </c>
      <c r="D17" s="10" t="s">
        <v>44</v>
      </c>
      <c r="E17" s="7" t="s">
        <v>45</v>
      </c>
      <c r="F17" s="7">
        <v>2023</v>
      </c>
      <c r="G17" s="7" t="s">
        <v>46</v>
      </c>
      <c r="H17" s="7" t="s">
        <v>47</v>
      </c>
      <c r="I17" s="7" t="s">
        <v>48</v>
      </c>
      <c r="J17" s="7">
        <v>1</v>
      </c>
      <c r="K17" s="7" t="s">
        <v>617</v>
      </c>
      <c r="L17" s="7" t="s">
        <v>618</v>
      </c>
      <c r="M17" s="7" t="s">
        <v>366</v>
      </c>
      <c r="N17" s="10" t="s">
        <v>619</v>
      </c>
      <c r="O17" s="7" t="s">
        <v>313</v>
      </c>
      <c r="P17" s="7" t="s">
        <v>620</v>
      </c>
      <c r="Q17" s="7" t="s">
        <v>621</v>
      </c>
      <c r="R17" s="7" t="s">
        <v>622</v>
      </c>
      <c r="S17" s="7" t="s">
        <v>317</v>
      </c>
      <c r="T17" s="7" t="s">
        <v>623</v>
      </c>
      <c r="U17" s="7" t="s">
        <v>624</v>
      </c>
      <c r="V17" s="7" t="s">
        <v>625</v>
      </c>
      <c r="W17" s="7" t="s">
        <v>290</v>
      </c>
      <c r="X17" s="7" t="s">
        <v>494</v>
      </c>
      <c r="Y17" s="7" t="s">
        <v>321</v>
      </c>
      <c r="Z17" s="7" t="s">
        <v>626</v>
      </c>
      <c r="AA17" s="7" t="s">
        <v>627</v>
      </c>
      <c r="AB17" s="7" t="s">
        <v>255</v>
      </c>
      <c r="AC17" s="7" t="s">
        <v>628</v>
      </c>
      <c r="AD17" s="7" t="s">
        <v>257</v>
      </c>
      <c r="AE17" s="7" t="s">
        <v>629</v>
      </c>
      <c r="AF17" s="10" t="s">
        <v>630</v>
      </c>
      <c r="AG17" s="7" t="s">
        <v>386</v>
      </c>
      <c r="AH17" s="7" t="s">
        <v>631</v>
      </c>
      <c r="AI17" s="7" t="s">
        <v>632</v>
      </c>
      <c r="AJ17" s="7" t="s">
        <v>265</v>
      </c>
      <c r="AK17" s="7" t="s">
        <v>633</v>
      </c>
      <c r="AL17" s="7" t="s">
        <v>264</v>
      </c>
      <c r="AM17" s="7" t="s">
        <v>265</v>
      </c>
      <c r="AN17" s="7" t="s">
        <v>265</v>
      </c>
      <c r="AO17" s="7" t="s">
        <v>634</v>
      </c>
      <c r="AP17" s="7" t="s">
        <v>635</v>
      </c>
      <c r="AQ17" s="7" t="s">
        <v>268</v>
      </c>
      <c r="AR17" s="7" t="s">
        <v>386</v>
      </c>
      <c r="AS17" s="7" t="s">
        <v>636</v>
      </c>
      <c r="AT17" s="7" t="s">
        <v>637</v>
      </c>
      <c r="AU17" s="7" t="s">
        <v>305</v>
      </c>
      <c r="AV17" s="7" t="s">
        <v>638</v>
      </c>
      <c r="AW17" s="7"/>
      <c r="AX17" s="7" t="s">
        <v>639</v>
      </c>
      <c r="AY17" s="7" t="s">
        <v>268</v>
      </c>
    </row>
    <row r="18" spans="1:51" ht="18" customHeight="1">
      <c r="A18" s="12">
        <v>45027.864907071758</v>
      </c>
      <c r="B18" s="7" t="s">
        <v>237</v>
      </c>
      <c r="C18" s="7">
        <v>11</v>
      </c>
      <c r="D18" s="7" t="s">
        <v>50</v>
      </c>
      <c r="E18" s="7" t="s">
        <v>51</v>
      </c>
      <c r="F18" s="7">
        <v>2021</v>
      </c>
      <c r="G18" s="7" t="s">
        <v>52</v>
      </c>
      <c r="H18" s="7" t="s">
        <v>12</v>
      </c>
      <c r="I18" s="7" t="s">
        <v>13</v>
      </c>
      <c r="J18" s="7">
        <v>10</v>
      </c>
      <c r="K18" s="7" t="s">
        <v>640</v>
      </c>
      <c r="L18" s="7" t="s">
        <v>641</v>
      </c>
      <c r="M18" s="7" t="s">
        <v>642</v>
      </c>
      <c r="N18" s="7" t="s">
        <v>643</v>
      </c>
      <c r="O18" s="7" t="s">
        <v>644</v>
      </c>
      <c r="P18" s="7" t="s">
        <v>645</v>
      </c>
      <c r="Q18" s="7" t="s">
        <v>646</v>
      </c>
      <c r="R18" s="7" t="s">
        <v>647</v>
      </c>
      <c r="S18" s="7" t="s">
        <v>317</v>
      </c>
      <c r="T18" s="7" t="s">
        <v>448</v>
      </c>
      <c r="U18" s="7" t="s">
        <v>648</v>
      </c>
      <c r="V18" s="7" t="s">
        <v>649</v>
      </c>
      <c r="W18" s="7" t="s">
        <v>514</v>
      </c>
      <c r="X18" s="7" t="s">
        <v>515</v>
      </c>
      <c r="Y18" s="7" t="s">
        <v>321</v>
      </c>
      <c r="Z18" s="7" t="s">
        <v>650</v>
      </c>
      <c r="AA18" s="7" t="s">
        <v>564</v>
      </c>
      <c r="AB18" s="7" t="s">
        <v>379</v>
      </c>
      <c r="AC18" s="7" t="s">
        <v>651</v>
      </c>
      <c r="AD18" s="7" t="s">
        <v>257</v>
      </c>
      <c r="AE18" s="7" t="s">
        <v>652</v>
      </c>
      <c r="AF18" s="7" t="s">
        <v>259</v>
      </c>
      <c r="AG18" s="7" t="s">
        <v>653</v>
      </c>
      <c r="AH18" s="7" t="s">
        <v>654</v>
      </c>
      <c r="AI18" s="7" t="s">
        <v>262</v>
      </c>
      <c r="AJ18" s="7" t="s">
        <v>262</v>
      </c>
      <c r="AK18" s="7" t="s">
        <v>328</v>
      </c>
      <c r="AL18" s="7" t="s">
        <v>264</v>
      </c>
      <c r="AM18" s="7" t="s">
        <v>385</v>
      </c>
      <c r="AN18" s="7" t="s">
        <v>265</v>
      </c>
      <c r="AO18" s="7" t="s">
        <v>655</v>
      </c>
      <c r="AP18" s="7" t="s">
        <v>656</v>
      </c>
      <c r="AQ18" s="7" t="s">
        <v>268</v>
      </c>
      <c r="AR18" s="7" t="s">
        <v>657</v>
      </c>
      <c r="AS18" s="7" t="s">
        <v>386</v>
      </c>
      <c r="AT18" s="7" t="s">
        <v>658</v>
      </c>
      <c r="AU18" s="7" t="s">
        <v>305</v>
      </c>
      <c r="AV18" s="7" t="s">
        <v>270</v>
      </c>
      <c r="AW18" s="7" t="s">
        <v>659</v>
      </c>
      <c r="AX18" s="7" t="s">
        <v>270</v>
      </c>
      <c r="AY18" s="7" t="s">
        <v>268</v>
      </c>
    </row>
    <row r="19" spans="1:51" ht="18.75" customHeight="1">
      <c r="A19" s="12">
        <v>45029.614819062495</v>
      </c>
      <c r="B19" s="7" t="s">
        <v>237</v>
      </c>
      <c r="C19" s="7">
        <v>12</v>
      </c>
      <c r="D19" s="7" t="s">
        <v>54</v>
      </c>
      <c r="E19" s="7" t="s">
        <v>55</v>
      </c>
      <c r="F19" s="7">
        <v>2022</v>
      </c>
      <c r="G19" s="7" t="s">
        <v>24</v>
      </c>
      <c r="H19" s="7" t="s">
        <v>25</v>
      </c>
      <c r="I19" s="7" t="s">
        <v>13</v>
      </c>
      <c r="J19" s="7">
        <v>0</v>
      </c>
      <c r="K19" s="7" t="s">
        <v>660</v>
      </c>
      <c r="L19" s="7" t="s">
        <v>661</v>
      </c>
      <c r="M19" s="7" t="s">
        <v>366</v>
      </c>
      <c r="N19" s="7" t="s">
        <v>662</v>
      </c>
      <c r="O19" s="7" t="s">
        <v>662</v>
      </c>
      <c r="P19" s="7" t="s">
        <v>663</v>
      </c>
      <c r="Q19" s="7" t="s">
        <v>664</v>
      </c>
      <c r="R19" s="7" t="s">
        <v>665</v>
      </c>
      <c r="S19" s="7" t="s">
        <v>317</v>
      </c>
      <c r="T19" s="7" t="s">
        <v>448</v>
      </c>
      <c r="U19" s="7" t="s">
        <v>666</v>
      </c>
      <c r="V19" s="7" t="s">
        <v>667</v>
      </c>
      <c r="W19" s="7" t="s">
        <v>514</v>
      </c>
      <c r="X19" s="7" t="s">
        <v>291</v>
      </c>
      <c r="Y19" s="7" t="s">
        <v>321</v>
      </c>
      <c r="Z19" s="7" t="s">
        <v>668</v>
      </c>
      <c r="AA19" s="7" t="s">
        <v>293</v>
      </c>
      <c r="AB19" s="7" t="s">
        <v>255</v>
      </c>
      <c r="AC19" s="7" t="s">
        <v>669</v>
      </c>
      <c r="AD19" s="7" t="s">
        <v>257</v>
      </c>
      <c r="AE19" s="7" t="s">
        <v>670</v>
      </c>
      <c r="AF19" s="7" t="s">
        <v>671</v>
      </c>
      <c r="AG19" s="7" t="s">
        <v>672</v>
      </c>
      <c r="AH19" s="7" t="s">
        <v>673</v>
      </c>
      <c r="AI19" s="7" t="s">
        <v>262</v>
      </c>
      <c r="AJ19" s="7" t="s">
        <v>262</v>
      </c>
      <c r="AK19" s="7" t="s">
        <v>674</v>
      </c>
      <c r="AL19" s="7" t="s">
        <v>675</v>
      </c>
      <c r="AM19" s="7" t="s">
        <v>385</v>
      </c>
      <c r="AN19" s="7" t="s">
        <v>262</v>
      </c>
      <c r="AO19" s="7" t="s">
        <v>676</v>
      </c>
      <c r="AP19" s="7" t="s">
        <v>677</v>
      </c>
      <c r="AQ19" s="7" t="s">
        <v>268</v>
      </c>
      <c r="AR19" s="7" t="s">
        <v>678</v>
      </c>
      <c r="AS19" s="7" t="s">
        <v>679</v>
      </c>
      <c r="AT19" s="7" t="s">
        <v>680</v>
      </c>
      <c r="AU19" s="7" t="s">
        <v>305</v>
      </c>
      <c r="AV19" s="7" t="s">
        <v>681</v>
      </c>
      <c r="AW19" s="7" t="s">
        <v>682</v>
      </c>
      <c r="AX19" s="7" t="s">
        <v>683</v>
      </c>
      <c r="AY19" s="7" t="s">
        <v>268</v>
      </c>
    </row>
    <row r="20" spans="1:51" ht="18" customHeight="1">
      <c r="A20" s="12">
        <v>45030.050120891203</v>
      </c>
      <c r="B20" s="7" t="s">
        <v>237</v>
      </c>
      <c r="C20" s="10">
        <v>13</v>
      </c>
      <c r="D20" s="7" t="s">
        <v>57</v>
      </c>
      <c r="E20" s="7" t="s">
        <v>58</v>
      </c>
      <c r="F20" s="7">
        <v>2019</v>
      </c>
      <c r="G20" s="7" t="s">
        <v>59</v>
      </c>
      <c r="H20" s="7" t="s">
        <v>12</v>
      </c>
      <c r="I20" s="7" t="s">
        <v>20</v>
      </c>
      <c r="J20" s="7">
        <v>13</v>
      </c>
      <c r="K20" s="7" t="s">
        <v>684</v>
      </c>
      <c r="L20" s="7" t="s">
        <v>685</v>
      </c>
      <c r="M20" s="7" t="s">
        <v>366</v>
      </c>
      <c r="N20" s="7" t="s">
        <v>599</v>
      </c>
      <c r="O20" s="7" t="s">
        <v>599</v>
      </c>
      <c r="P20" s="7" t="s">
        <v>686</v>
      </c>
      <c r="Q20" s="7" t="s">
        <v>687</v>
      </c>
      <c r="R20" s="7" t="s">
        <v>688</v>
      </c>
      <c r="S20" s="7" t="s">
        <v>246</v>
      </c>
      <c r="T20" s="7" t="s">
        <v>689</v>
      </c>
      <c r="U20" s="7" t="s">
        <v>690</v>
      </c>
      <c r="V20" s="7" t="s">
        <v>691</v>
      </c>
      <c r="W20" s="7" t="s">
        <v>290</v>
      </c>
      <c r="X20" s="7" t="s">
        <v>291</v>
      </c>
      <c r="Y20" s="7" t="s">
        <v>321</v>
      </c>
      <c r="Z20" s="7" t="s">
        <v>692</v>
      </c>
      <c r="AA20" s="7" t="s">
        <v>293</v>
      </c>
      <c r="AB20" s="7" t="s">
        <v>255</v>
      </c>
      <c r="AC20" s="7" t="s">
        <v>693</v>
      </c>
      <c r="AD20" s="7" t="s">
        <v>257</v>
      </c>
      <c r="AE20" s="7" t="s">
        <v>694</v>
      </c>
      <c r="AF20" s="7" t="s">
        <v>671</v>
      </c>
      <c r="AG20" s="7" t="s">
        <v>695</v>
      </c>
      <c r="AH20" s="7" t="s">
        <v>696</v>
      </c>
      <c r="AI20" s="7" t="s">
        <v>262</v>
      </c>
      <c r="AJ20" s="7" t="s">
        <v>262</v>
      </c>
      <c r="AK20" s="7" t="s">
        <v>328</v>
      </c>
      <c r="AL20" s="7" t="s">
        <v>264</v>
      </c>
      <c r="AM20" s="7" t="s">
        <v>265</v>
      </c>
      <c r="AN20" s="7" t="s">
        <v>265</v>
      </c>
      <c r="AO20" s="7" t="s">
        <v>697</v>
      </c>
      <c r="AP20" s="7" t="s">
        <v>698</v>
      </c>
      <c r="AQ20" s="7" t="s">
        <v>268</v>
      </c>
      <c r="AR20" s="7" t="s">
        <v>699</v>
      </c>
      <c r="AT20" s="7" t="s">
        <v>700</v>
      </c>
      <c r="AU20" s="7" t="s">
        <v>265</v>
      </c>
      <c r="AV20" s="7" t="s">
        <v>701</v>
      </c>
      <c r="AW20" s="7" t="s">
        <v>702</v>
      </c>
      <c r="AX20" s="7" t="s">
        <v>270</v>
      </c>
      <c r="AY20" s="7" t="s">
        <v>268</v>
      </c>
    </row>
    <row r="21" spans="1:51" ht="18.75" customHeight="1">
      <c r="A21" s="12">
        <v>45031.025087025468</v>
      </c>
      <c r="B21" s="7" t="s">
        <v>237</v>
      </c>
      <c r="C21" s="7">
        <v>14</v>
      </c>
      <c r="D21" s="7" t="s">
        <v>61</v>
      </c>
      <c r="E21" s="7" t="s">
        <v>62</v>
      </c>
      <c r="F21" s="7">
        <v>2021</v>
      </c>
      <c r="G21" s="7" t="s">
        <v>63</v>
      </c>
      <c r="H21" s="7" t="s">
        <v>12</v>
      </c>
      <c r="I21" s="7" t="s">
        <v>64</v>
      </c>
      <c r="J21" s="7">
        <v>8</v>
      </c>
      <c r="K21" s="7" t="s">
        <v>703</v>
      </c>
      <c r="L21" s="7" t="s">
        <v>704</v>
      </c>
      <c r="M21" s="7" t="s">
        <v>554</v>
      </c>
      <c r="N21" s="10" t="s">
        <v>619</v>
      </c>
      <c r="O21" s="7" t="s">
        <v>419</v>
      </c>
      <c r="P21" s="7" t="s">
        <v>705</v>
      </c>
      <c r="Q21" s="7" t="s">
        <v>706</v>
      </c>
      <c r="R21" s="7" t="s">
        <v>707</v>
      </c>
      <c r="S21" s="7" t="s">
        <v>246</v>
      </c>
      <c r="T21" s="7" t="s">
        <v>708</v>
      </c>
      <c r="U21" s="7" t="s">
        <v>709</v>
      </c>
      <c r="V21" s="7" t="s">
        <v>710</v>
      </c>
      <c r="W21" s="7" t="s">
        <v>290</v>
      </c>
      <c r="X21" s="7" t="s">
        <v>515</v>
      </c>
      <c r="Y21" s="7" t="s">
        <v>321</v>
      </c>
      <c r="Z21" s="7" t="s">
        <v>711</v>
      </c>
      <c r="AA21" s="7" t="s">
        <v>712</v>
      </c>
      <c r="AB21" s="7" t="s">
        <v>379</v>
      </c>
      <c r="AC21" s="7" t="s">
        <v>713</v>
      </c>
      <c r="AD21" s="7" t="s">
        <v>257</v>
      </c>
      <c r="AE21" s="7" t="s">
        <v>714</v>
      </c>
      <c r="AF21" s="7" t="s">
        <v>259</v>
      </c>
      <c r="AG21" s="7" t="s">
        <v>386</v>
      </c>
      <c r="AH21" s="7" t="s">
        <v>715</v>
      </c>
      <c r="AI21" s="7" t="s">
        <v>262</v>
      </c>
      <c r="AJ21" s="7" t="s">
        <v>262</v>
      </c>
      <c r="AK21" s="7" t="s">
        <v>328</v>
      </c>
      <c r="AL21" s="7" t="s">
        <v>264</v>
      </c>
      <c r="AM21" s="7" t="s">
        <v>265</v>
      </c>
      <c r="AN21" s="7" t="s">
        <v>265</v>
      </c>
      <c r="AO21" s="7" t="s">
        <v>716</v>
      </c>
      <c r="AP21" s="7" t="s">
        <v>717</v>
      </c>
      <c r="AQ21" s="7" t="s">
        <v>268</v>
      </c>
      <c r="AR21" s="7" t="s">
        <v>386</v>
      </c>
      <c r="AT21" s="7" t="s">
        <v>718</v>
      </c>
      <c r="AU21" s="7" t="s">
        <v>262</v>
      </c>
      <c r="AV21" s="7" t="s">
        <v>719</v>
      </c>
      <c r="AW21" s="7" t="s">
        <v>720</v>
      </c>
      <c r="AX21" s="7" t="s">
        <v>721</v>
      </c>
      <c r="AY21" s="7" t="s">
        <v>415</v>
      </c>
    </row>
    <row r="22" spans="1:51" ht="19.5" customHeight="1">
      <c r="A22" s="12">
        <v>45032.084121805558</v>
      </c>
      <c r="B22" s="7" t="s">
        <v>237</v>
      </c>
      <c r="C22" s="7">
        <v>15</v>
      </c>
      <c r="D22" s="7" t="s">
        <v>722</v>
      </c>
      <c r="E22" s="7" t="s">
        <v>723</v>
      </c>
      <c r="F22" s="7">
        <v>2020</v>
      </c>
      <c r="G22" s="7" t="s">
        <v>68</v>
      </c>
      <c r="H22" s="7" t="s">
        <v>47</v>
      </c>
      <c r="I22" s="7" t="s">
        <v>64</v>
      </c>
      <c r="J22" s="7">
        <v>3</v>
      </c>
      <c r="K22" s="7" t="s">
        <v>724</v>
      </c>
      <c r="L22" s="7" t="s">
        <v>725</v>
      </c>
      <c r="M22" s="7" t="s">
        <v>366</v>
      </c>
      <c r="N22" s="7" t="s">
        <v>386</v>
      </c>
      <c r="O22" s="7" t="s">
        <v>313</v>
      </c>
      <c r="P22" s="7" t="s">
        <v>488</v>
      </c>
      <c r="Q22" s="7" t="s">
        <v>726</v>
      </c>
      <c r="R22" s="7" t="s">
        <v>727</v>
      </c>
      <c r="S22" s="7" t="s">
        <v>246</v>
      </c>
      <c r="T22" s="7" t="s">
        <v>728</v>
      </c>
      <c r="U22" s="7" t="s">
        <v>729</v>
      </c>
      <c r="V22" s="7" t="s">
        <v>730</v>
      </c>
      <c r="W22" s="7" t="s">
        <v>290</v>
      </c>
      <c r="X22" s="7" t="s">
        <v>378</v>
      </c>
      <c r="Y22" s="7" t="s">
        <v>321</v>
      </c>
      <c r="Z22" s="7" t="s">
        <v>731</v>
      </c>
      <c r="AA22" s="7" t="s">
        <v>732</v>
      </c>
      <c r="AB22" s="7" t="s">
        <v>255</v>
      </c>
      <c r="AC22" s="7" t="s">
        <v>733</v>
      </c>
      <c r="AD22" s="7" t="s">
        <v>257</v>
      </c>
      <c r="AE22" s="7" t="s">
        <v>734</v>
      </c>
      <c r="AF22" s="7" t="s">
        <v>259</v>
      </c>
      <c r="AG22" s="7" t="s">
        <v>386</v>
      </c>
      <c r="AH22" s="7" t="s">
        <v>735</v>
      </c>
      <c r="AI22" s="7" t="s">
        <v>262</v>
      </c>
      <c r="AJ22" s="7" t="s">
        <v>262</v>
      </c>
      <c r="AK22" s="7" t="s">
        <v>328</v>
      </c>
      <c r="AL22" s="7" t="s">
        <v>736</v>
      </c>
      <c r="AM22" s="7" t="s">
        <v>385</v>
      </c>
      <c r="AN22" s="7" t="s">
        <v>262</v>
      </c>
      <c r="AO22" s="7" t="s">
        <v>737</v>
      </c>
      <c r="AQ22" s="7" t="s">
        <v>268</v>
      </c>
      <c r="AT22" s="7" t="s">
        <v>738</v>
      </c>
      <c r="AU22" s="7" t="s">
        <v>305</v>
      </c>
      <c r="AV22" s="7" t="s">
        <v>739</v>
      </c>
      <c r="AW22" s="7" t="s">
        <v>740</v>
      </c>
      <c r="AX22" s="7" t="s">
        <v>741</v>
      </c>
      <c r="AY22" s="7" t="s">
        <v>415</v>
      </c>
    </row>
    <row r="23" spans="1:51" ht="18.75" customHeight="1">
      <c r="A23" s="12">
        <v>45033.694948634264</v>
      </c>
      <c r="B23" s="7" t="s">
        <v>237</v>
      </c>
      <c r="C23" s="10">
        <v>16</v>
      </c>
      <c r="D23" s="7" t="s">
        <v>70</v>
      </c>
      <c r="E23" s="7" t="s">
        <v>71</v>
      </c>
      <c r="F23" s="7">
        <v>2019</v>
      </c>
      <c r="G23" s="7" t="s">
        <v>24</v>
      </c>
      <c r="H23" s="7" t="s">
        <v>25</v>
      </c>
      <c r="I23" s="7" t="s">
        <v>20</v>
      </c>
      <c r="J23" s="7">
        <v>3</v>
      </c>
      <c r="K23" s="7" t="s">
        <v>742</v>
      </c>
      <c r="L23" s="7" t="s">
        <v>743</v>
      </c>
      <c r="M23" s="7" t="s">
        <v>366</v>
      </c>
      <c r="N23" s="7" t="s">
        <v>619</v>
      </c>
      <c r="O23" s="7" t="s">
        <v>313</v>
      </c>
      <c r="P23" s="7" t="s">
        <v>744</v>
      </c>
      <c r="Q23" s="7" t="s">
        <v>745</v>
      </c>
      <c r="R23" s="7" t="s">
        <v>746</v>
      </c>
      <c r="S23" s="7" t="s">
        <v>246</v>
      </c>
      <c r="T23" s="7" t="s">
        <v>747</v>
      </c>
      <c r="U23" s="7" t="s">
        <v>748</v>
      </c>
      <c r="V23" s="7" t="s">
        <v>749</v>
      </c>
      <c r="W23" s="7" t="s">
        <v>290</v>
      </c>
      <c r="X23" s="7" t="s">
        <v>291</v>
      </c>
      <c r="Y23" s="7" t="s">
        <v>321</v>
      </c>
      <c r="Z23" s="7" t="s">
        <v>692</v>
      </c>
      <c r="AA23" s="7" t="s">
        <v>427</v>
      </c>
      <c r="AB23" s="7" t="s">
        <v>255</v>
      </c>
      <c r="AC23" s="7" t="s">
        <v>750</v>
      </c>
      <c r="AD23" s="7" t="s">
        <v>257</v>
      </c>
      <c r="AE23" s="7" t="s">
        <v>751</v>
      </c>
      <c r="AF23" s="7" t="s">
        <v>671</v>
      </c>
      <c r="AG23" s="7" t="s">
        <v>752</v>
      </c>
      <c r="AH23" s="7" t="s">
        <v>753</v>
      </c>
      <c r="AI23" s="7" t="s">
        <v>262</v>
      </c>
      <c r="AJ23" s="7" t="s">
        <v>262</v>
      </c>
      <c r="AK23" s="7" t="s">
        <v>754</v>
      </c>
      <c r="AL23" s="7" t="s">
        <v>264</v>
      </c>
      <c r="AM23" s="7" t="s">
        <v>265</v>
      </c>
      <c r="AN23" s="7" t="s">
        <v>262</v>
      </c>
      <c r="AO23" s="7" t="s">
        <v>755</v>
      </c>
      <c r="AP23" s="7" t="s">
        <v>756</v>
      </c>
      <c r="AQ23" s="7" t="s">
        <v>409</v>
      </c>
      <c r="AR23" s="7" t="s">
        <v>757</v>
      </c>
      <c r="AS23" s="7" t="s">
        <v>758</v>
      </c>
      <c r="AT23" s="7" t="s">
        <v>759</v>
      </c>
      <c r="AU23" s="7" t="s">
        <v>265</v>
      </c>
      <c r="AV23" s="7" t="s">
        <v>270</v>
      </c>
      <c r="AW23" s="7" t="s">
        <v>760</v>
      </c>
      <c r="AX23" s="7" t="s">
        <v>761</v>
      </c>
      <c r="AY23" s="7" t="s">
        <v>268</v>
      </c>
    </row>
    <row r="24" spans="1:51" ht="18.75" customHeight="1">
      <c r="A24" s="12">
        <v>45034.626247256943</v>
      </c>
      <c r="B24" s="7" t="s">
        <v>237</v>
      </c>
      <c r="C24" s="7">
        <v>17</v>
      </c>
      <c r="D24" s="7" t="s">
        <v>73</v>
      </c>
      <c r="E24" s="7" t="s">
        <v>74</v>
      </c>
      <c r="F24" s="7">
        <v>2019</v>
      </c>
      <c r="G24" s="7" t="s">
        <v>63</v>
      </c>
      <c r="H24" s="7" t="s">
        <v>12</v>
      </c>
      <c r="I24" s="7" t="s">
        <v>64</v>
      </c>
      <c r="J24" s="7">
        <v>4</v>
      </c>
      <c r="K24" s="7" t="s">
        <v>762</v>
      </c>
      <c r="L24" s="7" t="s">
        <v>763</v>
      </c>
      <c r="M24" s="7" t="s">
        <v>366</v>
      </c>
      <c r="N24" s="7" t="s">
        <v>619</v>
      </c>
      <c r="O24" s="7" t="s">
        <v>764</v>
      </c>
      <c r="P24" s="7" t="s">
        <v>765</v>
      </c>
      <c r="Q24" s="7" t="s">
        <v>766</v>
      </c>
      <c r="R24" s="7" t="s">
        <v>767</v>
      </c>
      <c r="S24" s="7" t="s">
        <v>246</v>
      </c>
      <c r="T24" s="7" t="s">
        <v>768</v>
      </c>
      <c r="U24" s="7" t="s">
        <v>769</v>
      </c>
      <c r="V24" s="7" t="s">
        <v>770</v>
      </c>
      <c r="W24" s="7" t="s">
        <v>290</v>
      </c>
      <c r="X24" s="7" t="s">
        <v>291</v>
      </c>
      <c r="Y24" s="7" t="s">
        <v>321</v>
      </c>
      <c r="Z24" s="7" t="s">
        <v>771</v>
      </c>
      <c r="AA24" s="7" t="s">
        <v>772</v>
      </c>
      <c r="AB24" s="7" t="s">
        <v>255</v>
      </c>
      <c r="AC24" s="7" t="s">
        <v>773</v>
      </c>
      <c r="AD24" s="7" t="s">
        <v>257</v>
      </c>
      <c r="AE24" s="7" t="s">
        <v>774</v>
      </c>
      <c r="AF24" s="7" t="s">
        <v>671</v>
      </c>
      <c r="AG24" s="7" t="s">
        <v>775</v>
      </c>
      <c r="AH24" s="7" t="s">
        <v>776</v>
      </c>
      <c r="AI24" s="7" t="s">
        <v>262</v>
      </c>
      <c r="AJ24" s="7" t="s">
        <v>262</v>
      </c>
      <c r="AK24" s="7" t="s">
        <v>777</v>
      </c>
      <c r="AL24" s="7" t="s">
        <v>264</v>
      </c>
      <c r="AM24" s="7" t="s">
        <v>265</v>
      </c>
      <c r="AN24" s="7" t="s">
        <v>265</v>
      </c>
      <c r="AO24" s="7" t="s">
        <v>778</v>
      </c>
      <c r="AP24" s="7" t="s">
        <v>779</v>
      </c>
      <c r="AQ24" s="7" t="s">
        <v>409</v>
      </c>
      <c r="AR24" s="7" t="s">
        <v>780</v>
      </c>
      <c r="AS24" s="7" t="s">
        <v>781</v>
      </c>
      <c r="AT24" s="7" t="s">
        <v>782</v>
      </c>
      <c r="AU24" s="7" t="s">
        <v>305</v>
      </c>
      <c r="AV24" s="7" t="s">
        <v>783</v>
      </c>
      <c r="AW24" s="7" t="s">
        <v>784</v>
      </c>
      <c r="AX24" s="7" t="s">
        <v>785</v>
      </c>
      <c r="AY24" s="7" t="s">
        <v>351</v>
      </c>
    </row>
    <row r="25" spans="1:51" ht="16.5" customHeight="1">
      <c r="A25" s="12">
        <v>45035.060291307869</v>
      </c>
      <c r="B25" s="7" t="s">
        <v>237</v>
      </c>
      <c r="C25" s="7">
        <v>18</v>
      </c>
      <c r="D25" s="7" t="s">
        <v>76</v>
      </c>
      <c r="E25" s="7" t="s">
        <v>77</v>
      </c>
      <c r="F25" s="7">
        <v>2022</v>
      </c>
      <c r="G25" s="7" t="s">
        <v>78</v>
      </c>
      <c r="H25" s="7" t="s">
        <v>25</v>
      </c>
      <c r="I25" s="7" t="s">
        <v>64</v>
      </c>
      <c r="J25" s="7">
        <v>0</v>
      </c>
      <c r="K25" s="7" t="s">
        <v>786</v>
      </c>
      <c r="L25" s="7" t="s">
        <v>787</v>
      </c>
      <c r="M25" s="7" t="s">
        <v>788</v>
      </c>
      <c r="N25" s="7" t="s">
        <v>619</v>
      </c>
      <c r="O25" s="7" t="s">
        <v>789</v>
      </c>
      <c r="P25" s="7" t="s">
        <v>790</v>
      </c>
      <c r="Q25" s="7" t="s">
        <v>791</v>
      </c>
      <c r="R25" s="7" t="s">
        <v>792</v>
      </c>
      <c r="S25" s="7" t="s">
        <v>246</v>
      </c>
      <c r="T25" s="7" t="s">
        <v>793</v>
      </c>
      <c r="U25" s="7" t="s">
        <v>794</v>
      </c>
      <c r="V25" s="7" t="s">
        <v>795</v>
      </c>
      <c r="W25" s="7" t="s">
        <v>290</v>
      </c>
      <c r="X25" s="7" t="s">
        <v>378</v>
      </c>
      <c r="Y25" s="7" t="s">
        <v>377</v>
      </c>
      <c r="Z25" s="7" t="s">
        <v>378</v>
      </c>
      <c r="AA25" s="7" t="s">
        <v>378</v>
      </c>
      <c r="AB25" s="7" t="s">
        <v>255</v>
      </c>
      <c r="AC25" s="7" t="s">
        <v>796</v>
      </c>
      <c r="AD25" s="7" t="s">
        <v>257</v>
      </c>
      <c r="AE25" s="7" t="s">
        <v>797</v>
      </c>
      <c r="AF25" s="7" t="s">
        <v>351</v>
      </c>
      <c r="AG25" s="7" t="s">
        <v>386</v>
      </c>
      <c r="AH25" s="7" t="s">
        <v>798</v>
      </c>
      <c r="AI25" s="7" t="s">
        <v>262</v>
      </c>
      <c r="AJ25" s="7" t="s">
        <v>262</v>
      </c>
      <c r="AK25" s="7" t="s">
        <v>457</v>
      </c>
      <c r="AM25" s="7" t="s">
        <v>385</v>
      </c>
      <c r="AP25" s="7" t="s">
        <v>799</v>
      </c>
      <c r="AQ25" s="7" t="s">
        <v>409</v>
      </c>
      <c r="AT25" s="7" t="s">
        <v>800</v>
      </c>
      <c r="AU25" s="7" t="s">
        <v>305</v>
      </c>
      <c r="AV25" s="7" t="s">
        <v>270</v>
      </c>
      <c r="AW25" s="7" t="s">
        <v>801</v>
      </c>
      <c r="AX25" s="7" t="s">
        <v>802</v>
      </c>
      <c r="AY25" s="7" t="s">
        <v>415</v>
      </c>
    </row>
    <row r="26" spans="1:51" ht="17.25" customHeight="1">
      <c r="A26" s="12">
        <v>45035.589350196758</v>
      </c>
      <c r="B26" s="7" t="s">
        <v>237</v>
      </c>
      <c r="C26" s="10">
        <v>19</v>
      </c>
      <c r="D26" s="7" t="s">
        <v>80</v>
      </c>
      <c r="E26" s="7" t="s">
        <v>81</v>
      </c>
      <c r="F26" s="7">
        <v>2020</v>
      </c>
      <c r="G26" s="7" t="s">
        <v>82</v>
      </c>
      <c r="H26" s="7" t="s">
        <v>12</v>
      </c>
      <c r="I26" s="7" t="s">
        <v>83</v>
      </c>
      <c r="J26" s="7">
        <v>3</v>
      </c>
      <c r="K26" s="7" t="s">
        <v>803</v>
      </c>
      <c r="L26" s="7" t="s">
        <v>804</v>
      </c>
      <c r="M26" s="7" t="s">
        <v>366</v>
      </c>
      <c r="N26" s="7" t="s">
        <v>599</v>
      </c>
      <c r="O26" s="7" t="s">
        <v>599</v>
      </c>
      <c r="P26" s="7" t="s">
        <v>341</v>
      </c>
      <c r="Q26" s="7" t="s">
        <v>805</v>
      </c>
      <c r="R26" s="7" t="s">
        <v>806</v>
      </c>
      <c r="S26" s="7" t="s">
        <v>246</v>
      </c>
      <c r="T26" s="7" t="s">
        <v>807</v>
      </c>
      <c r="U26" s="7" t="s">
        <v>808</v>
      </c>
      <c r="V26" s="7" t="s">
        <v>809</v>
      </c>
      <c r="W26" s="7" t="s">
        <v>290</v>
      </c>
      <c r="X26" s="7" t="s">
        <v>515</v>
      </c>
      <c r="Y26" s="7" t="s">
        <v>321</v>
      </c>
      <c r="Z26" s="7" t="s">
        <v>692</v>
      </c>
      <c r="AA26" s="7" t="s">
        <v>293</v>
      </c>
      <c r="AB26" s="7" t="s">
        <v>379</v>
      </c>
      <c r="AC26" s="7" t="s">
        <v>323</v>
      </c>
      <c r="AD26" s="7" t="s">
        <v>257</v>
      </c>
      <c r="AE26" s="7" t="s">
        <v>810</v>
      </c>
      <c r="AF26" s="7" t="s">
        <v>351</v>
      </c>
      <c r="AG26" s="7" t="s">
        <v>325</v>
      </c>
      <c r="AH26" s="7" t="s">
        <v>811</v>
      </c>
      <c r="AI26" s="7" t="s">
        <v>262</v>
      </c>
      <c r="AJ26" s="7" t="s">
        <v>262</v>
      </c>
      <c r="AK26" s="7" t="s">
        <v>328</v>
      </c>
      <c r="AL26" s="7" t="s">
        <v>264</v>
      </c>
      <c r="AM26" s="7" t="s">
        <v>385</v>
      </c>
      <c r="AO26" s="7" t="s">
        <v>812</v>
      </c>
      <c r="AQ26" s="7" t="s">
        <v>268</v>
      </c>
      <c r="AR26" s="7" t="s">
        <v>813</v>
      </c>
      <c r="AS26" s="7" t="s">
        <v>814</v>
      </c>
      <c r="AT26" s="7" t="s">
        <v>815</v>
      </c>
      <c r="AU26" s="7" t="s">
        <v>265</v>
      </c>
      <c r="AV26" s="7" t="s">
        <v>816</v>
      </c>
      <c r="AW26" s="7" t="s">
        <v>817</v>
      </c>
      <c r="AX26" s="7" t="s">
        <v>818</v>
      </c>
      <c r="AY26" s="7" t="s">
        <v>351</v>
      </c>
    </row>
    <row r="27" spans="1:51" ht="16.5" customHeight="1">
      <c r="A27" s="12">
        <v>45036.055486296296</v>
      </c>
      <c r="B27" s="7" t="s">
        <v>237</v>
      </c>
      <c r="C27" s="7">
        <v>20</v>
      </c>
      <c r="D27" s="7" t="s">
        <v>85</v>
      </c>
      <c r="E27" s="7" t="s">
        <v>86</v>
      </c>
      <c r="F27" s="7">
        <v>2019</v>
      </c>
      <c r="G27" s="7" t="s">
        <v>24</v>
      </c>
      <c r="H27" s="7" t="s">
        <v>25</v>
      </c>
      <c r="I27" s="7" t="s">
        <v>20</v>
      </c>
      <c r="J27" s="7">
        <v>5</v>
      </c>
      <c r="K27" s="7" t="s">
        <v>819</v>
      </c>
      <c r="L27" s="7" t="s">
        <v>820</v>
      </c>
      <c r="M27" s="7" t="s">
        <v>366</v>
      </c>
      <c r="N27" s="7" t="s">
        <v>821</v>
      </c>
      <c r="O27" s="7" t="s">
        <v>821</v>
      </c>
      <c r="P27" s="7" t="s">
        <v>341</v>
      </c>
      <c r="Q27" s="7" t="s">
        <v>822</v>
      </c>
      <c r="R27" s="7" t="s">
        <v>823</v>
      </c>
      <c r="S27" s="7" t="s">
        <v>317</v>
      </c>
      <c r="T27" s="7" t="s">
        <v>824</v>
      </c>
      <c r="U27" s="7" t="s">
        <v>825</v>
      </c>
      <c r="V27" s="7" t="s">
        <v>826</v>
      </c>
      <c r="W27" s="7" t="s">
        <v>290</v>
      </c>
      <c r="X27" s="7" t="s">
        <v>515</v>
      </c>
      <c r="Y27" s="7" t="s">
        <v>252</v>
      </c>
      <c r="Z27" s="7" t="s">
        <v>827</v>
      </c>
      <c r="AA27" s="7" t="s">
        <v>427</v>
      </c>
      <c r="AB27" s="7" t="s">
        <v>379</v>
      </c>
      <c r="AC27" s="7" t="s">
        <v>828</v>
      </c>
      <c r="AD27" s="7" t="s">
        <v>257</v>
      </c>
      <c r="AE27" s="7" t="s">
        <v>829</v>
      </c>
      <c r="AF27" s="7" t="s">
        <v>259</v>
      </c>
      <c r="AG27" s="7" t="s">
        <v>830</v>
      </c>
      <c r="AH27" s="7" t="s">
        <v>831</v>
      </c>
      <c r="AI27" s="7" t="s">
        <v>262</v>
      </c>
      <c r="AJ27" s="7" t="s">
        <v>262</v>
      </c>
      <c r="AK27" s="7" t="s">
        <v>832</v>
      </c>
      <c r="AL27" s="7" t="s">
        <v>264</v>
      </c>
      <c r="AM27" s="7" t="s">
        <v>385</v>
      </c>
      <c r="AO27" s="7" t="s">
        <v>833</v>
      </c>
      <c r="AP27" s="7" t="s">
        <v>834</v>
      </c>
      <c r="AQ27" s="7" t="s">
        <v>409</v>
      </c>
      <c r="AR27" s="7" t="s">
        <v>325</v>
      </c>
      <c r="AS27" s="7" t="s">
        <v>325</v>
      </c>
      <c r="AT27" s="7" t="s">
        <v>835</v>
      </c>
      <c r="AU27" s="7" t="s">
        <v>305</v>
      </c>
      <c r="AV27" s="7" t="s">
        <v>836</v>
      </c>
      <c r="AW27" s="7" t="s">
        <v>837</v>
      </c>
      <c r="AX27" s="7" t="s">
        <v>838</v>
      </c>
      <c r="AY27" s="7" t="s">
        <v>351</v>
      </c>
    </row>
    <row r="28" spans="1:51" ht="16.5" customHeight="1">
      <c r="A28" s="12">
        <v>45036.598195914354</v>
      </c>
      <c r="B28" s="7" t="s">
        <v>237</v>
      </c>
      <c r="C28" s="7">
        <v>21</v>
      </c>
      <c r="D28" s="7" t="s">
        <v>88</v>
      </c>
      <c r="E28" s="7" t="s">
        <v>89</v>
      </c>
      <c r="F28" s="7">
        <v>2014</v>
      </c>
      <c r="G28" s="7" t="s">
        <v>90</v>
      </c>
      <c r="H28" s="7" t="s">
        <v>12</v>
      </c>
      <c r="I28" s="7" t="s">
        <v>20</v>
      </c>
      <c r="J28" s="7">
        <v>41</v>
      </c>
      <c r="K28" s="7" t="s">
        <v>839</v>
      </c>
      <c r="L28" s="7" t="s">
        <v>840</v>
      </c>
      <c r="M28" s="7" t="s">
        <v>366</v>
      </c>
      <c r="N28" s="7" t="s">
        <v>619</v>
      </c>
      <c r="O28" s="7" t="s">
        <v>841</v>
      </c>
      <c r="P28" s="7" t="s">
        <v>842</v>
      </c>
      <c r="Q28" s="7" t="s">
        <v>843</v>
      </c>
      <c r="R28" s="7" t="s">
        <v>844</v>
      </c>
      <c r="S28" s="7" t="s">
        <v>246</v>
      </c>
      <c r="T28" s="7" t="s">
        <v>845</v>
      </c>
      <c r="U28" s="7" t="s">
        <v>846</v>
      </c>
      <c r="V28" s="7" t="s">
        <v>847</v>
      </c>
      <c r="W28" s="7" t="s">
        <v>848</v>
      </c>
      <c r="X28" s="7" t="s">
        <v>515</v>
      </c>
      <c r="Y28" s="7" t="s">
        <v>321</v>
      </c>
      <c r="Z28" s="7" t="s">
        <v>849</v>
      </c>
      <c r="AA28" s="7" t="s">
        <v>772</v>
      </c>
      <c r="AB28" s="7" t="s">
        <v>379</v>
      </c>
      <c r="AC28" s="7" t="s">
        <v>270</v>
      </c>
      <c r="AD28" s="7" t="s">
        <v>257</v>
      </c>
      <c r="AE28" s="7" t="s">
        <v>850</v>
      </c>
      <c r="AF28" s="7" t="s">
        <v>259</v>
      </c>
      <c r="AG28" s="15" t="s">
        <v>851</v>
      </c>
      <c r="AH28" s="7" t="s">
        <v>852</v>
      </c>
      <c r="AI28" s="7" t="s">
        <v>262</v>
      </c>
      <c r="AJ28" s="7" t="s">
        <v>262</v>
      </c>
      <c r="AK28" s="7" t="s">
        <v>457</v>
      </c>
      <c r="AM28" s="7" t="s">
        <v>385</v>
      </c>
      <c r="AQ28" s="7" t="s">
        <v>409</v>
      </c>
      <c r="AT28" s="7" t="s">
        <v>853</v>
      </c>
      <c r="AU28" s="7" t="s">
        <v>305</v>
      </c>
      <c r="AV28" s="7" t="s">
        <v>854</v>
      </c>
      <c r="AW28" s="7" t="s">
        <v>855</v>
      </c>
      <c r="AX28" s="7" t="s">
        <v>856</v>
      </c>
      <c r="AY28" s="7" t="s">
        <v>351</v>
      </c>
    </row>
    <row r="29" spans="1:51" ht="17.25" customHeight="1">
      <c r="A29" s="12">
        <v>45036.721272546296</v>
      </c>
      <c r="B29" s="7" t="s">
        <v>237</v>
      </c>
      <c r="C29" s="10">
        <v>22</v>
      </c>
      <c r="D29" s="7" t="s">
        <v>92</v>
      </c>
      <c r="E29" s="7" t="s">
        <v>93</v>
      </c>
      <c r="F29" s="7">
        <v>2022</v>
      </c>
      <c r="G29" s="7" t="s">
        <v>857</v>
      </c>
      <c r="H29" s="7" t="s">
        <v>47</v>
      </c>
      <c r="I29" s="7" t="s">
        <v>83</v>
      </c>
      <c r="J29" s="7">
        <v>6</v>
      </c>
      <c r="K29" s="7" t="s">
        <v>858</v>
      </c>
      <c r="L29" s="7" t="s">
        <v>859</v>
      </c>
      <c r="M29" s="7" t="s">
        <v>366</v>
      </c>
      <c r="N29" s="7" t="s">
        <v>860</v>
      </c>
      <c r="O29" s="7" t="s">
        <v>599</v>
      </c>
      <c r="P29" s="7" t="s">
        <v>861</v>
      </c>
      <c r="Q29" s="7" t="s">
        <v>862</v>
      </c>
      <c r="R29" s="7" t="s">
        <v>863</v>
      </c>
      <c r="S29" s="7" t="s">
        <v>864</v>
      </c>
      <c r="T29" s="7" t="s">
        <v>865</v>
      </c>
      <c r="U29" s="7" t="s">
        <v>866</v>
      </c>
      <c r="V29" s="7" t="s">
        <v>867</v>
      </c>
      <c r="W29" s="7" t="s">
        <v>290</v>
      </c>
      <c r="X29" s="7" t="s">
        <v>291</v>
      </c>
      <c r="Y29" s="7" t="s">
        <v>321</v>
      </c>
      <c r="Z29" s="7" t="s">
        <v>868</v>
      </c>
      <c r="AA29" s="7" t="s">
        <v>869</v>
      </c>
      <c r="AB29" s="7" t="s">
        <v>255</v>
      </c>
      <c r="AC29" s="7" t="s">
        <v>323</v>
      </c>
      <c r="AD29" s="7" t="s">
        <v>257</v>
      </c>
      <c r="AE29" s="7" t="s">
        <v>870</v>
      </c>
      <c r="AF29" s="7" t="s">
        <v>671</v>
      </c>
      <c r="AG29" s="7" t="s">
        <v>871</v>
      </c>
      <c r="AH29" s="7" t="s">
        <v>872</v>
      </c>
      <c r="AI29" s="7" t="s">
        <v>262</v>
      </c>
      <c r="AJ29" s="7" t="s">
        <v>262</v>
      </c>
      <c r="AK29" s="7" t="s">
        <v>873</v>
      </c>
      <c r="AL29" s="7" t="s">
        <v>264</v>
      </c>
      <c r="AM29" s="7" t="s">
        <v>265</v>
      </c>
      <c r="AN29" s="7" t="s">
        <v>265</v>
      </c>
      <c r="AO29" s="7" t="s">
        <v>874</v>
      </c>
      <c r="AP29" s="7" t="s">
        <v>875</v>
      </c>
      <c r="AQ29" s="7" t="s">
        <v>409</v>
      </c>
      <c r="AR29" s="7" t="s">
        <v>876</v>
      </c>
      <c r="AS29" s="7" t="s">
        <v>270</v>
      </c>
      <c r="AT29" s="7" t="s">
        <v>877</v>
      </c>
      <c r="AU29" s="7" t="s">
        <v>305</v>
      </c>
      <c r="AV29" s="7" t="s">
        <v>878</v>
      </c>
      <c r="AW29" s="7" t="s">
        <v>879</v>
      </c>
      <c r="AX29" s="7" t="s">
        <v>880</v>
      </c>
      <c r="AY29" s="7" t="s">
        <v>268</v>
      </c>
    </row>
    <row r="30" spans="1:51" ht="16.5" customHeight="1">
      <c r="A30" s="12">
        <v>45037.061074953701</v>
      </c>
      <c r="B30" s="7" t="s">
        <v>237</v>
      </c>
      <c r="C30" s="7">
        <v>23</v>
      </c>
      <c r="D30" s="7" t="s">
        <v>96</v>
      </c>
      <c r="E30" s="7" t="s">
        <v>97</v>
      </c>
      <c r="F30" s="7">
        <v>2017</v>
      </c>
      <c r="G30" s="7" t="s">
        <v>94</v>
      </c>
      <c r="H30" s="7" t="s">
        <v>47</v>
      </c>
      <c r="I30" s="7" t="s">
        <v>83</v>
      </c>
      <c r="J30" s="7">
        <v>40</v>
      </c>
      <c r="K30" s="7" t="s">
        <v>881</v>
      </c>
      <c r="L30" s="7" t="s">
        <v>882</v>
      </c>
      <c r="M30" s="7" t="s">
        <v>883</v>
      </c>
      <c r="N30" s="7" t="s">
        <v>884</v>
      </c>
      <c r="O30" s="7" t="s">
        <v>885</v>
      </c>
      <c r="P30" s="7" t="s">
        <v>886</v>
      </c>
      <c r="Q30" s="7" t="s">
        <v>887</v>
      </c>
      <c r="R30" s="7" t="s">
        <v>888</v>
      </c>
      <c r="S30" s="7" t="s">
        <v>317</v>
      </c>
      <c r="T30" s="7" t="s">
        <v>889</v>
      </c>
      <c r="U30" s="7" t="s">
        <v>890</v>
      </c>
      <c r="V30" s="7" t="s">
        <v>891</v>
      </c>
      <c r="W30" s="7" t="s">
        <v>290</v>
      </c>
      <c r="X30" s="7" t="s">
        <v>291</v>
      </c>
      <c r="Y30" s="7" t="s">
        <v>321</v>
      </c>
      <c r="Z30" s="7" t="s">
        <v>692</v>
      </c>
      <c r="AA30" s="7" t="s">
        <v>892</v>
      </c>
      <c r="AB30" s="7" t="s">
        <v>255</v>
      </c>
      <c r="AC30" s="7" t="s">
        <v>893</v>
      </c>
      <c r="AD30" s="7" t="s">
        <v>257</v>
      </c>
      <c r="AE30" s="7" t="s">
        <v>894</v>
      </c>
      <c r="AF30" s="7" t="s">
        <v>586</v>
      </c>
      <c r="AG30" s="7" t="s">
        <v>895</v>
      </c>
      <c r="AH30" s="7" t="s">
        <v>896</v>
      </c>
      <c r="AI30" s="7" t="s">
        <v>262</v>
      </c>
      <c r="AJ30" s="7" t="s">
        <v>262</v>
      </c>
      <c r="AK30" s="7" t="s">
        <v>897</v>
      </c>
      <c r="AL30" s="7" t="s">
        <v>898</v>
      </c>
      <c r="AM30" s="7" t="s">
        <v>265</v>
      </c>
      <c r="AN30" s="7" t="s">
        <v>265</v>
      </c>
      <c r="AO30" s="7" t="s">
        <v>899</v>
      </c>
      <c r="AP30" s="7" t="s">
        <v>900</v>
      </c>
      <c r="AQ30" s="7" t="s">
        <v>268</v>
      </c>
      <c r="AR30" s="7" t="s">
        <v>901</v>
      </c>
      <c r="AS30" s="7" t="s">
        <v>270</v>
      </c>
      <c r="AT30" s="7" t="s">
        <v>902</v>
      </c>
      <c r="AU30" s="7" t="s">
        <v>265</v>
      </c>
      <c r="AV30" s="7" t="s">
        <v>903</v>
      </c>
      <c r="AW30" s="7" t="s">
        <v>904</v>
      </c>
      <c r="AX30" s="7" t="s">
        <v>905</v>
      </c>
      <c r="AY30" s="7" t="s">
        <v>268</v>
      </c>
    </row>
    <row r="31" spans="1:51" ht="17.25" customHeight="1">
      <c r="A31" s="12">
        <v>45037.676947592598</v>
      </c>
      <c r="B31" s="7" t="s">
        <v>237</v>
      </c>
      <c r="C31" s="7">
        <v>24</v>
      </c>
      <c r="D31" s="7" t="s">
        <v>99</v>
      </c>
      <c r="E31" s="7" t="s">
        <v>100</v>
      </c>
      <c r="F31" s="7">
        <v>2019</v>
      </c>
      <c r="G31" s="7" t="s">
        <v>101</v>
      </c>
      <c r="H31" s="7" t="s">
        <v>12</v>
      </c>
      <c r="I31" s="7" t="s">
        <v>20</v>
      </c>
      <c r="J31" s="7">
        <v>11</v>
      </c>
      <c r="K31" s="7" t="s">
        <v>906</v>
      </c>
      <c r="L31" s="7" t="s">
        <v>907</v>
      </c>
      <c r="M31" s="7" t="s">
        <v>554</v>
      </c>
      <c r="N31" s="7" t="s">
        <v>908</v>
      </c>
      <c r="O31" s="7" t="s">
        <v>909</v>
      </c>
      <c r="P31" s="7" t="s">
        <v>910</v>
      </c>
      <c r="Q31" s="7" t="s">
        <v>911</v>
      </c>
      <c r="R31" s="7" t="s">
        <v>912</v>
      </c>
      <c r="S31" s="7" t="s">
        <v>246</v>
      </c>
      <c r="T31" s="7" t="s">
        <v>913</v>
      </c>
      <c r="U31" s="7" t="s">
        <v>914</v>
      </c>
      <c r="V31" s="7" t="s">
        <v>915</v>
      </c>
      <c r="W31" s="7" t="s">
        <v>290</v>
      </c>
      <c r="X31" s="7" t="s">
        <v>515</v>
      </c>
      <c r="Y31" s="7" t="s">
        <v>321</v>
      </c>
      <c r="Z31" s="7" t="s">
        <v>916</v>
      </c>
      <c r="AA31" s="7" t="s">
        <v>293</v>
      </c>
      <c r="AB31" s="7" t="s">
        <v>379</v>
      </c>
      <c r="AC31" s="7" t="s">
        <v>917</v>
      </c>
      <c r="AD31" s="7" t="s">
        <v>257</v>
      </c>
      <c r="AE31" s="7" t="s">
        <v>918</v>
      </c>
      <c r="AF31" s="7" t="s">
        <v>919</v>
      </c>
      <c r="AG31" s="7" t="s">
        <v>920</v>
      </c>
      <c r="AH31" s="7" t="s">
        <v>921</v>
      </c>
      <c r="AI31" s="7" t="s">
        <v>262</v>
      </c>
      <c r="AJ31" s="7" t="s">
        <v>262</v>
      </c>
      <c r="AK31" s="7" t="s">
        <v>922</v>
      </c>
      <c r="AL31" s="7" t="s">
        <v>264</v>
      </c>
      <c r="AM31" s="7" t="s">
        <v>385</v>
      </c>
      <c r="AO31" s="7" t="s">
        <v>386</v>
      </c>
      <c r="AP31" s="7" t="s">
        <v>923</v>
      </c>
      <c r="AQ31" s="7" t="s">
        <v>268</v>
      </c>
      <c r="AR31" s="7" t="s">
        <v>270</v>
      </c>
      <c r="AS31" s="7" t="s">
        <v>924</v>
      </c>
      <c r="AT31" s="7" t="s">
        <v>925</v>
      </c>
      <c r="AU31" s="7" t="s">
        <v>305</v>
      </c>
      <c r="AV31" s="7" t="s">
        <v>926</v>
      </c>
      <c r="AW31" s="7" t="s">
        <v>927</v>
      </c>
      <c r="AX31" s="7" t="s">
        <v>928</v>
      </c>
      <c r="AY31" s="7" t="s">
        <v>351</v>
      </c>
    </row>
    <row r="32" spans="1:51" ht="16.5" customHeight="1">
      <c r="A32" s="12">
        <v>45038.047250659722</v>
      </c>
      <c r="B32" s="7" t="s">
        <v>237</v>
      </c>
      <c r="C32" s="10">
        <v>25</v>
      </c>
      <c r="D32" s="7" t="s">
        <v>103</v>
      </c>
      <c r="E32" s="7" t="s">
        <v>104</v>
      </c>
      <c r="F32" s="7">
        <v>2022</v>
      </c>
      <c r="G32" s="7" t="s">
        <v>105</v>
      </c>
      <c r="H32" s="7" t="s">
        <v>47</v>
      </c>
      <c r="I32" s="7" t="s">
        <v>64</v>
      </c>
      <c r="J32" s="7">
        <v>12</v>
      </c>
      <c r="K32" s="7" t="s">
        <v>929</v>
      </c>
      <c r="L32" s="7" t="s">
        <v>930</v>
      </c>
      <c r="M32" s="7" t="s">
        <v>554</v>
      </c>
      <c r="N32" s="7" t="s">
        <v>931</v>
      </c>
      <c r="O32" s="7" t="s">
        <v>931</v>
      </c>
      <c r="P32" s="7" t="s">
        <v>341</v>
      </c>
      <c r="Q32" s="7" t="s">
        <v>932</v>
      </c>
      <c r="R32" s="7" t="s">
        <v>933</v>
      </c>
      <c r="S32" s="7" t="s">
        <v>246</v>
      </c>
      <c r="T32" s="7" t="s">
        <v>934</v>
      </c>
      <c r="U32" s="7" t="s">
        <v>935</v>
      </c>
      <c r="V32" s="7" t="s">
        <v>936</v>
      </c>
      <c r="W32" s="7" t="s">
        <v>290</v>
      </c>
      <c r="X32" s="7" t="s">
        <v>291</v>
      </c>
      <c r="Y32" s="7" t="s">
        <v>252</v>
      </c>
      <c r="Z32" s="7" t="s">
        <v>937</v>
      </c>
      <c r="AA32" s="7" t="s">
        <v>293</v>
      </c>
      <c r="AB32" s="7" t="s">
        <v>255</v>
      </c>
      <c r="AC32" s="7" t="s">
        <v>938</v>
      </c>
      <c r="AD32" s="7" t="s">
        <v>257</v>
      </c>
      <c r="AE32" s="7" t="s">
        <v>939</v>
      </c>
      <c r="AF32" s="7" t="s">
        <v>671</v>
      </c>
      <c r="AG32" s="7" t="s">
        <v>940</v>
      </c>
      <c r="AH32" s="7" t="s">
        <v>941</v>
      </c>
      <c r="AI32" s="7" t="s">
        <v>262</v>
      </c>
      <c r="AJ32" s="7" t="s">
        <v>262</v>
      </c>
      <c r="AK32" s="7" t="s">
        <v>942</v>
      </c>
      <c r="AL32" s="7" t="s">
        <v>264</v>
      </c>
      <c r="AM32" s="7" t="s">
        <v>385</v>
      </c>
      <c r="AP32" s="7" t="s">
        <v>943</v>
      </c>
      <c r="AQ32" s="7" t="s">
        <v>268</v>
      </c>
      <c r="AR32" s="7" t="s">
        <v>944</v>
      </c>
      <c r="AS32" s="7" t="s">
        <v>945</v>
      </c>
      <c r="AT32" s="7" t="s">
        <v>946</v>
      </c>
      <c r="AU32" s="7" t="s">
        <v>265</v>
      </c>
      <c r="AV32" s="7" t="s">
        <v>947</v>
      </c>
      <c r="AW32" s="7" t="s">
        <v>948</v>
      </c>
      <c r="AX32" s="7" t="s">
        <v>949</v>
      </c>
      <c r="AY32" s="7" t="s">
        <v>268</v>
      </c>
    </row>
    <row r="33" spans="1:51" ht="18" customHeight="1">
      <c r="A33" s="12">
        <v>45042.685970995371</v>
      </c>
      <c r="B33" s="7" t="s">
        <v>237</v>
      </c>
      <c r="C33" s="7">
        <v>26</v>
      </c>
      <c r="D33" s="7" t="s">
        <v>107</v>
      </c>
      <c r="E33" s="7" t="s">
        <v>108</v>
      </c>
      <c r="F33" s="7">
        <v>2022</v>
      </c>
      <c r="G33" s="7" t="s">
        <v>109</v>
      </c>
      <c r="H33" s="7" t="s">
        <v>47</v>
      </c>
      <c r="I33" s="7" t="s">
        <v>64</v>
      </c>
      <c r="J33" s="7">
        <v>0</v>
      </c>
      <c r="K33" s="7" t="s">
        <v>950</v>
      </c>
      <c r="L33" s="7" t="s">
        <v>951</v>
      </c>
      <c r="M33" s="7" t="s">
        <v>554</v>
      </c>
      <c r="N33" s="7" t="s">
        <v>952</v>
      </c>
      <c r="O33" s="7" t="s">
        <v>419</v>
      </c>
      <c r="P33" s="7" t="s">
        <v>953</v>
      </c>
      <c r="Q33" s="7" t="s">
        <v>954</v>
      </c>
      <c r="R33" s="7" t="s">
        <v>955</v>
      </c>
      <c r="S33" s="7" t="s">
        <v>246</v>
      </c>
      <c r="T33" s="7" t="s">
        <v>956</v>
      </c>
      <c r="U33" s="7" t="s">
        <v>957</v>
      </c>
      <c r="V33" s="7" t="s">
        <v>958</v>
      </c>
      <c r="W33" s="7" t="s">
        <v>514</v>
      </c>
      <c r="X33" s="7" t="s">
        <v>378</v>
      </c>
      <c r="Y33" s="7" t="s">
        <v>321</v>
      </c>
      <c r="Z33" s="7" t="s">
        <v>959</v>
      </c>
      <c r="AA33" s="7" t="s">
        <v>960</v>
      </c>
      <c r="AB33" s="7" t="s">
        <v>255</v>
      </c>
      <c r="AC33" s="7" t="s">
        <v>961</v>
      </c>
      <c r="AD33" s="7" t="s">
        <v>257</v>
      </c>
      <c r="AE33" s="7" t="s">
        <v>962</v>
      </c>
      <c r="AF33" s="7" t="s">
        <v>259</v>
      </c>
      <c r="AG33" s="7" t="s">
        <v>386</v>
      </c>
      <c r="AH33" s="7" t="s">
        <v>963</v>
      </c>
      <c r="AI33" s="7" t="s">
        <v>262</v>
      </c>
      <c r="AJ33" s="7" t="s">
        <v>262</v>
      </c>
      <c r="AK33" s="7" t="s">
        <v>457</v>
      </c>
      <c r="AM33" s="7" t="s">
        <v>262</v>
      </c>
      <c r="AN33" s="7" t="s">
        <v>262</v>
      </c>
      <c r="AP33" s="7" t="s">
        <v>325</v>
      </c>
      <c r="AQ33" s="7" t="s">
        <v>409</v>
      </c>
      <c r="AT33" s="7" t="s">
        <v>964</v>
      </c>
      <c r="AU33" s="7" t="s">
        <v>305</v>
      </c>
      <c r="AV33" s="7" t="s">
        <v>270</v>
      </c>
      <c r="AW33" s="7" t="s">
        <v>965</v>
      </c>
      <c r="AX33" s="7" t="s">
        <v>270</v>
      </c>
      <c r="AY33" s="7" t="s">
        <v>415</v>
      </c>
    </row>
    <row r="34" spans="1:51" ht="16.5" customHeight="1">
      <c r="A34" s="12">
        <v>45043.015591041665</v>
      </c>
      <c r="B34" s="7" t="s">
        <v>237</v>
      </c>
      <c r="C34" s="7">
        <v>27</v>
      </c>
      <c r="D34" s="7" t="s">
        <v>966</v>
      </c>
      <c r="E34" s="7" t="s">
        <v>112</v>
      </c>
      <c r="F34" s="7">
        <v>2023</v>
      </c>
      <c r="G34" s="7" t="s">
        <v>113</v>
      </c>
      <c r="H34" s="7" t="s">
        <v>47</v>
      </c>
      <c r="I34" s="7" t="s">
        <v>48</v>
      </c>
      <c r="J34" s="7">
        <v>0</v>
      </c>
      <c r="K34" s="7" t="s">
        <v>967</v>
      </c>
      <c r="L34" s="7" t="s">
        <v>968</v>
      </c>
      <c r="M34" s="7" t="s">
        <v>969</v>
      </c>
      <c r="N34" s="7" t="s">
        <v>970</v>
      </c>
      <c r="O34" s="7" t="s">
        <v>971</v>
      </c>
      <c r="P34" s="7" t="s">
        <v>972</v>
      </c>
      <c r="Q34" s="7" t="s">
        <v>973</v>
      </c>
      <c r="R34" s="7" t="s">
        <v>974</v>
      </c>
      <c r="S34" s="7" t="s">
        <v>975</v>
      </c>
      <c r="T34" s="7" t="s">
        <v>976</v>
      </c>
      <c r="U34" s="7" t="s">
        <v>977</v>
      </c>
      <c r="V34" s="7" t="s">
        <v>978</v>
      </c>
      <c r="W34" s="7" t="s">
        <v>290</v>
      </c>
      <c r="X34" s="7" t="s">
        <v>291</v>
      </c>
      <c r="Y34" s="7" t="s">
        <v>979</v>
      </c>
      <c r="Z34" s="7" t="s">
        <v>980</v>
      </c>
      <c r="AA34" s="7" t="s">
        <v>981</v>
      </c>
      <c r="AB34" s="7" t="s">
        <v>255</v>
      </c>
      <c r="AC34" s="7" t="s">
        <v>323</v>
      </c>
      <c r="AD34" s="7" t="s">
        <v>257</v>
      </c>
      <c r="AE34" s="7" t="s">
        <v>982</v>
      </c>
      <c r="AF34" s="7" t="s">
        <v>983</v>
      </c>
      <c r="AG34" s="7" t="s">
        <v>325</v>
      </c>
      <c r="AH34" s="7" t="s">
        <v>984</v>
      </c>
      <c r="AI34" s="7" t="s">
        <v>262</v>
      </c>
      <c r="AJ34" s="7" t="s">
        <v>265</v>
      </c>
      <c r="AK34" s="7" t="s">
        <v>985</v>
      </c>
      <c r="AL34" s="7" t="s">
        <v>264</v>
      </c>
      <c r="AM34" s="7" t="s">
        <v>262</v>
      </c>
      <c r="AN34" s="7" t="s">
        <v>265</v>
      </c>
      <c r="AO34" s="7" t="s">
        <v>986</v>
      </c>
      <c r="AP34" s="7" t="s">
        <v>987</v>
      </c>
      <c r="AQ34" s="7" t="s">
        <v>268</v>
      </c>
      <c r="AR34" s="7" t="s">
        <v>988</v>
      </c>
      <c r="AS34" s="7" t="s">
        <v>270</v>
      </c>
      <c r="AT34" s="7" t="s">
        <v>989</v>
      </c>
      <c r="AU34" s="7" t="s">
        <v>305</v>
      </c>
      <c r="AV34" s="7" t="s">
        <v>270</v>
      </c>
      <c r="AW34" s="7" t="s">
        <v>990</v>
      </c>
      <c r="AX34" s="7" t="s">
        <v>991</v>
      </c>
      <c r="AY34" s="7" t="s">
        <v>415</v>
      </c>
    </row>
    <row r="35" spans="1:51" ht="18.75" customHeight="1">
      <c r="A35" s="12">
        <v>45043.653501782406</v>
      </c>
      <c r="B35" s="7" t="s">
        <v>237</v>
      </c>
      <c r="C35" s="10">
        <v>28</v>
      </c>
      <c r="D35" s="7" t="s">
        <v>115</v>
      </c>
      <c r="E35" s="7" t="s">
        <v>116</v>
      </c>
      <c r="F35" s="7">
        <v>2015</v>
      </c>
      <c r="G35" s="7" t="s">
        <v>117</v>
      </c>
      <c r="H35" s="7" t="s">
        <v>47</v>
      </c>
      <c r="I35" s="7" t="s">
        <v>118</v>
      </c>
      <c r="J35" s="7">
        <v>20</v>
      </c>
      <c r="K35" s="7" t="s">
        <v>992</v>
      </c>
      <c r="L35" s="7" t="s">
        <v>993</v>
      </c>
      <c r="M35" s="7" t="s">
        <v>994</v>
      </c>
      <c r="N35" s="7" t="s">
        <v>619</v>
      </c>
      <c r="O35" s="7" t="s">
        <v>995</v>
      </c>
      <c r="P35" s="7" t="s">
        <v>996</v>
      </c>
      <c r="Q35" s="7" t="s">
        <v>997</v>
      </c>
      <c r="R35" s="7" t="s">
        <v>998</v>
      </c>
      <c r="S35" s="7" t="s">
        <v>317</v>
      </c>
      <c r="T35" s="7" t="s">
        <v>999</v>
      </c>
      <c r="U35" s="7" t="s">
        <v>1000</v>
      </c>
      <c r="V35" s="7" t="s">
        <v>1001</v>
      </c>
      <c r="W35" s="7" t="s">
        <v>290</v>
      </c>
      <c r="X35" s="7" t="s">
        <v>515</v>
      </c>
      <c r="Y35" s="7" t="s">
        <v>252</v>
      </c>
      <c r="Z35" s="7" t="s">
        <v>1002</v>
      </c>
      <c r="AA35" s="7" t="s">
        <v>1003</v>
      </c>
      <c r="AB35" s="7" t="s">
        <v>255</v>
      </c>
      <c r="AC35" s="7" t="s">
        <v>938</v>
      </c>
      <c r="AD35" s="7" t="s">
        <v>257</v>
      </c>
      <c r="AE35" s="7" t="s">
        <v>1004</v>
      </c>
      <c r="AF35" s="7" t="s">
        <v>1005</v>
      </c>
      <c r="AG35" s="7" t="s">
        <v>1006</v>
      </c>
      <c r="AH35" s="7" t="s">
        <v>1007</v>
      </c>
      <c r="AI35" s="7" t="s">
        <v>262</v>
      </c>
      <c r="AJ35" s="7" t="s">
        <v>262</v>
      </c>
      <c r="AK35" s="7" t="s">
        <v>1008</v>
      </c>
      <c r="AL35" s="7" t="s">
        <v>264</v>
      </c>
      <c r="AM35" s="7" t="s">
        <v>385</v>
      </c>
      <c r="AO35" s="7" t="s">
        <v>386</v>
      </c>
      <c r="AP35" s="7" t="s">
        <v>1009</v>
      </c>
      <c r="AQ35" s="7" t="s">
        <v>409</v>
      </c>
      <c r="AR35" s="7" t="s">
        <v>1010</v>
      </c>
      <c r="AS35" s="7" t="s">
        <v>1011</v>
      </c>
      <c r="AT35" s="7" t="s">
        <v>1012</v>
      </c>
      <c r="AU35" s="7" t="s">
        <v>305</v>
      </c>
      <c r="AV35" s="7" t="s">
        <v>1013</v>
      </c>
      <c r="AW35" s="7" t="s">
        <v>1014</v>
      </c>
      <c r="AX35" s="7" t="s">
        <v>1015</v>
      </c>
      <c r="AY35" s="7" t="s">
        <v>415</v>
      </c>
    </row>
    <row r="36" spans="1:51" ht="18" customHeight="1">
      <c r="A36" s="12">
        <v>45045.613609409724</v>
      </c>
      <c r="B36" s="7" t="s">
        <v>237</v>
      </c>
      <c r="C36" s="7">
        <v>29</v>
      </c>
      <c r="D36" s="7" t="s">
        <v>120</v>
      </c>
      <c r="E36" s="7" t="s">
        <v>121</v>
      </c>
      <c r="F36" s="7">
        <v>2012</v>
      </c>
      <c r="G36" s="7" t="s">
        <v>122</v>
      </c>
      <c r="H36" s="7" t="s">
        <v>47</v>
      </c>
      <c r="I36" s="7" t="s">
        <v>64</v>
      </c>
      <c r="J36" s="7" t="s">
        <v>123</v>
      </c>
      <c r="K36" s="7" t="s">
        <v>1016</v>
      </c>
      <c r="L36" s="7" t="s">
        <v>1017</v>
      </c>
      <c r="M36" s="7" t="s">
        <v>1018</v>
      </c>
      <c r="N36" s="7" t="s">
        <v>619</v>
      </c>
      <c r="O36" s="7" t="s">
        <v>1019</v>
      </c>
      <c r="P36" s="7" t="s">
        <v>1020</v>
      </c>
      <c r="Q36" s="7" t="s">
        <v>1021</v>
      </c>
      <c r="R36" s="7" t="s">
        <v>1022</v>
      </c>
      <c r="S36" s="7" t="s">
        <v>864</v>
      </c>
      <c r="T36" s="7" t="s">
        <v>1023</v>
      </c>
      <c r="U36" s="7" t="s">
        <v>1024</v>
      </c>
      <c r="V36" s="7" t="s">
        <v>1025</v>
      </c>
      <c r="W36" s="7" t="s">
        <v>290</v>
      </c>
      <c r="X36" s="7" t="s">
        <v>378</v>
      </c>
      <c r="Y36" s="7" t="s">
        <v>377</v>
      </c>
      <c r="AA36" s="7" t="s">
        <v>378</v>
      </c>
      <c r="AB36" s="7" t="s">
        <v>255</v>
      </c>
      <c r="AC36" s="7" t="s">
        <v>1026</v>
      </c>
      <c r="AD36" s="7" t="s">
        <v>257</v>
      </c>
      <c r="AE36" s="7" t="s">
        <v>1027</v>
      </c>
      <c r="AF36" s="7" t="s">
        <v>351</v>
      </c>
      <c r="AG36" s="7" t="s">
        <v>386</v>
      </c>
      <c r="AH36" s="7" t="s">
        <v>1028</v>
      </c>
      <c r="AI36" s="7" t="s">
        <v>262</v>
      </c>
      <c r="AJ36" s="7" t="s">
        <v>262</v>
      </c>
      <c r="AK36" s="7" t="s">
        <v>1029</v>
      </c>
      <c r="AL36" s="7" t="s">
        <v>264</v>
      </c>
      <c r="AM36" s="7" t="s">
        <v>385</v>
      </c>
      <c r="AO36" s="7" t="s">
        <v>1030</v>
      </c>
      <c r="AP36" s="7" t="s">
        <v>1031</v>
      </c>
      <c r="AQ36" s="7" t="s">
        <v>409</v>
      </c>
      <c r="AR36" s="7" t="s">
        <v>270</v>
      </c>
      <c r="AS36" s="7" t="s">
        <v>270</v>
      </c>
      <c r="AT36" s="7" t="s">
        <v>1032</v>
      </c>
      <c r="AU36" s="7" t="s">
        <v>305</v>
      </c>
      <c r="AV36" s="7" t="s">
        <v>270</v>
      </c>
      <c r="AW36" s="7" t="s">
        <v>1033</v>
      </c>
      <c r="AX36" s="7" t="s">
        <v>270</v>
      </c>
      <c r="AY36" s="7" t="s">
        <v>351</v>
      </c>
    </row>
    <row r="37" spans="1:51" ht="18" customHeight="1">
      <c r="A37" s="12">
        <v>45045.882552465278</v>
      </c>
      <c r="B37" s="7" t="s">
        <v>237</v>
      </c>
      <c r="C37" s="7">
        <v>30</v>
      </c>
      <c r="D37" s="7" t="s">
        <v>125</v>
      </c>
      <c r="E37" s="7" t="s">
        <v>126</v>
      </c>
      <c r="F37" s="7">
        <v>2018</v>
      </c>
      <c r="G37" s="7" t="s">
        <v>127</v>
      </c>
      <c r="H37" s="7" t="s">
        <v>47</v>
      </c>
      <c r="I37" s="7" t="s">
        <v>128</v>
      </c>
      <c r="J37" s="7">
        <v>24</v>
      </c>
      <c r="K37" s="7" t="s">
        <v>1034</v>
      </c>
      <c r="L37" s="7" t="s">
        <v>1035</v>
      </c>
      <c r="M37" s="7" t="s">
        <v>788</v>
      </c>
      <c r="N37" s="7" t="s">
        <v>1036</v>
      </c>
      <c r="O37" s="7" t="s">
        <v>1037</v>
      </c>
      <c r="P37" s="7" t="s">
        <v>1038</v>
      </c>
      <c r="Q37" s="7" t="s">
        <v>1039</v>
      </c>
      <c r="R37" s="7" t="s">
        <v>1040</v>
      </c>
      <c r="S37" s="7" t="s">
        <v>246</v>
      </c>
      <c r="T37" s="7" t="s">
        <v>1041</v>
      </c>
      <c r="U37" s="7" t="s">
        <v>1042</v>
      </c>
      <c r="V37" s="7" t="s">
        <v>1043</v>
      </c>
      <c r="W37" s="7" t="s">
        <v>290</v>
      </c>
      <c r="X37" s="7" t="s">
        <v>291</v>
      </c>
      <c r="Y37" s="7" t="s">
        <v>321</v>
      </c>
      <c r="Z37" s="7" t="s">
        <v>1044</v>
      </c>
      <c r="AA37" s="7" t="s">
        <v>1045</v>
      </c>
      <c r="AB37" s="7" t="s">
        <v>255</v>
      </c>
      <c r="AC37" s="7" t="s">
        <v>323</v>
      </c>
      <c r="AD37" s="7" t="s">
        <v>257</v>
      </c>
      <c r="AE37" s="7" t="s">
        <v>1046</v>
      </c>
      <c r="AF37" s="7" t="s">
        <v>351</v>
      </c>
      <c r="AG37" s="7" t="s">
        <v>1047</v>
      </c>
      <c r="AH37" s="7" t="s">
        <v>1048</v>
      </c>
      <c r="AI37" s="7" t="s">
        <v>262</v>
      </c>
      <c r="AJ37" s="7" t="s">
        <v>262</v>
      </c>
      <c r="AK37" s="7" t="s">
        <v>1049</v>
      </c>
      <c r="AL37" s="7" t="s">
        <v>264</v>
      </c>
      <c r="AM37" s="7" t="s">
        <v>385</v>
      </c>
      <c r="AO37" s="7" t="s">
        <v>386</v>
      </c>
      <c r="AP37" s="7" t="s">
        <v>1050</v>
      </c>
      <c r="AQ37" s="7" t="s">
        <v>268</v>
      </c>
      <c r="AR37" s="7" t="s">
        <v>270</v>
      </c>
      <c r="AS37" s="7" t="s">
        <v>1051</v>
      </c>
      <c r="AT37" s="7" t="s">
        <v>1052</v>
      </c>
      <c r="AU37" s="7" t="s">
        <v>265</v>
      </c>
      <c r="AV37" s="7" t="s">
        <v>1053</v>
      </c>
      <c r="AW37" s="7" t="s">
        <v>1054</v>
      </c>
      <c r="AX37" s="7" t="s">
        <v>1055</v>
      </c>
      <c r="AY37" s="7" t="s">
        <v>268</v>
      </c>
    </row>
    <row r="38" spans="1:51" ht="16.5" customHeight="1">
      <c r="A38" s="12">
        <v>45047.715239745376</v>
      </c>
      <c r="B38" s="7" t="s">
        <v>237</v>
      </c>
      <c r="C38" s="10">
        <v>31</v>
      </c>
      <c r="D38" s="7" t="s">
        <v>130</v>
      </c>
      <c r="E38" s="7" t="s">
        <v>131</v>
      </c>
      <c r="F38" s="7">
        <v>2021</v>
      </c>
      <c r="G38" s="7" t="s">
        <v>94</v>
      </c>
      <c r="H38" s="7" t="s">
        <v>47</v>
      </c>
      <c r="I38" s="7" t="s">
        <v>83</v>
      </c>
      <c r="J38" s="7">
        <v>2</v>
      </c>
      <c r="K38" s="7" t="s">
        <v>1056</v>
      </c>
      <c r="L38" s="7" t="s">
        <v>1057</v>
      </c>
      <c r="M38" s="7" t="s">
        <v>1058</v>
      </c>
      <c r="N38" s="7" t="s">
        <v>443</v>
      </c>
      <c r="O38" s="7" t="s">
        <v>662</v>
      </c>
      <c r="P38" s="7" t="s">
        <v>1059</v>
      </c>
      <c r="Q38" s="7" t="s">
        <v>1060</v>
      </c>
      <c r="R38" s="7" t="s">
        <v>1061</v>
      </c>
      <c r="S38" s="7" t="s">
        <v>317</v>
      </c>
      <c r="T38" s="7" t="s">
        <v>1062</v>
      </c>
      <c r="U38" s="7" t="s">
        <v>960</v>
      </c>
      <c r="V38" s="7" t="s">
        <v>1063</v>
      </c>
      <c r="W38" s="7" t="s">
        <v>290</v>
      </c>
      <c r="X38" s="7" t="s">
        <v>291</v>
      </c>
      <c r="Y38" s="7" t="s">
        <v>321</v>
      </c>
      <c r="Z38" s="7" t="s">
        <v>1064</v>
      </c>
      <c r="AA38" s="7" t="s">
        <v>1065</v>
      </c>
      <c r="AB38" s="7" t="s">
        <v>255</v>
      </c>
      <c r="AC38" s="7" t="s">
        <v>1066</v>
      </c>
      <c r="AD38" s="7" t="s">
        <v>257</v>
      </c>
      <c r="AE38" s="7" t="s">
        <v>1067</v>
      </c>
      <c r="AF38" s="7" t="s">
        <v>351</v>
      </c>
      <c r="AG38" s="7" t="s">
        <v>1068</v>
      </c>
      <c r="AH38" s="7" t="s">
        <v>1069</v>
      </c>
      <c r="AI38" s="7" t="s">
        <v>1070</v>
      </c>
      <c r="AJ38" s="7" t="s">
        <v>262</v>
      </c>
      <c r="AK38" s="7" t="s">
        <v>1071</v>
      </c>
      <c r="AL38" s="7" t="s">
        <v>736</v>
      </c>
      <c r="AM38" s="7" t="s">
        <v>262</v>
      </c>
      <c r="AN38" s="7" t="s">
        <v>262</v>
      </c>
      <c r="AP38" s="7" t="s">
        <v>1072</v>
      </c>
      <c r="AQ38" s="7" t="s">
        <v>268</v>
      </c>
      <c r="AR38" s="7" t="s">
        <v>1073</v>
      </c>
      <c r="AS38" s="7" t="s">
        <v>1074</v>
      </c>
      <c r="AT38" s="7" t="s">
        <v>1075</v>
      </c>
      <c r="AU38" s="7" t="s">
        <v>305</v>
      </c>
      <c r="AV38" s="7" t="s">
        <v>270</v>
      </c>
      <c r="AW38" s="7" t="s">
        <v>1076</v>
      </c>
      <c r="AX38" s="7" t="s">
        <v>1077</v>
      </c>
      <c r="AY38" s="7" t="s">
        <v>268</v>
      </c>
    </row>
    <row r="39" spans="1:51" ht="16.5" customHeight="1">
      <c r="A39" s="12">
        <v>45051.597763020836</v>
      </c>
      <c r="B39" s="7" t="s">
        <v>237</v>
      </c>
      <c r="C39" s="7">
        <v>32</v>
      </c>
      <c r="D39" s="7" t="s">
        <v>133</v>
      </c>
      <c r="E39" s="7" t="s">
        <v>134</v>
      </c>
      <c r="F39" s="7">
        <v>2021</v>
      </c>
      <c r="G39" s="7" t="s">
        <v>135</v>
      </c>
      <c r="H39" s="7" t="s">
        <v>12</v>
      </c>
      <c r="I39" s="7" t="s">
        <v>83</v>
      </c>
      <c r="J39" s="7">
        <v>13</v>
      </c>
      <c r="K39" s="7" t="s">
        <v>1078</v>
      </c>
      <c r="L39" s="7" t="s">
        <v>1079</v>
      </c>
      <c r="M39" s="7" t="s">
        <v>366</v>
      </c>
      <c r="N39" s="7" t="s">
        <v>1080</v>
      </c>
      <c r="O39" s="7" t="s">
        <v>1081</v>
      </c>
      <c r="P39" s="7" t="s">
        <v>1082</v>
      </c>
      <c r="Q39" s="7" t="s">
        <v>1083</v>
      </c>
      <c r="R39" s="7" t="s">
        <v>1084</v>
      </c>
      <c r="S39" s="7" t="s">
        <v>246</v>
      </c>
      <c r="T39" s="7" t="s">
        <v>1085</v>
      </c>
      <c r="U39" s="7" t="s">
        <v>1086</v>
      </c>
      <c r="V39" s="7" t="s">
        <v>1087</v>
      </c>
      <c r="W39" s="7" t="s">
        <v>290</v>
      </c>
      <c r="X39" s="7" t="s">
        <v>291</v>
      </c>
      <c r="Y39" s="7" t="s">
        <v>321</v>
      </c>
      <c r="Z39" s="7" t="s">
        <v>1088</v>
      </c>
      <c r="AA39" s="7" t="s">
        <v>293</v>
      </c>
      <c r="AB39" s="7" t="s">
        <v>255</v>
      </c>
      <c r="AC39" s="7" t="s">
        <v>323</v>
      </c>
      <c r="AD39" s="7" t="s">
        <v>257</v>
      </c>
      <c r="AE39" s="7" t="s">
        <v>1089</v>
      </c>
      <c r="AF39" s="7" t="s">
        <v>1090</v>
      </c>
      <c r="AG39" s="7" t="s">
        <v>325</v>
      </c>
      <c r="AH39" s="7" t="s">
        <v>1091</v>
      </c>
      <c r="AI39" s="7" t="s">
        <v>262</v>
      </c>
      <c r="AJ39" s="7" t="s">
        <v>262</v>
      </c>
      <c r="AK39" s="7" t="s">
        <v>1092</v>
      </c>
      <c r="AM39" s="7" t="s">
        <v>265</v>
      </c>
      <c r="AN39" s="7" t="s">
        <v>262</v>
      </c>
      <c r="AO39" s="7" t="s">
        <v>386</v>
      </c>
      <c r="AP39" s="7" t="s">
        <v>1093</v>
      </c>
      <c r="AQ39" s="7" t="s">
        <v>409</v>
      </c>
      <c r="AR39" s="7" t="s">
        <v>386</v>
      </c>
      <c r="AS39" s="7" t="s">
        <v>386</v>
      </c>
      <c r="AT39" s="7" t="s">
        <v>1094</v>
      </c>
      <c r="AU39" s="7" t="s">
        <v>305</v>
      </c>
      <c r="AV39" s="7" t="s">
        <v>1095</v>
      </c>
      <c r="AW39" s="7" t="s">
        <v>1096</v>
      </c>
      <c r="AX39" s="7" t="s">
        <v>1097</v>
      </c>
      <c r="AY39" s="7" t="s">
        <v>415</v>
      </c>
    </row>
    <row r="40" spans="1:51" ht="17.25" customHeight="1">
      <c r="A40" s="12">
        <v>45068.648405104163</v>
      </c>
      <c r="B40" s="7" t="s">
        <v>237</v>
      </c>
      <c r="C40" s="7">
        <v>33</v>
      </c>
      <c r="D40" s="7" t="s">
        <v>137</v>
      </c>
      <c r="E40" s="7" t="s">
        <v>138</v>
      </c>
      <c r="F40" s="7">
        <v>2021</v>
      </c>
      <c r="G40" s="7" t="s">
        <v>139</v>
      </c>
      <c r="H40" s="7" t="s">
        <v>47</v>
      </c>
      <c r="I40" s="7" t="s">
        <v>13</v>
      </c>
      <c r="J40" s="7">
        <v>2</v>
      </c>
      <c r="K40" s="7" t="s">
        <v>1098</v>
      </c>
      <c r="L40" s="7" t="s">
        <v>1099</v>
      </c>
      <c r="M40" s="7" t="s">
        <v>366</v>
      </c>
      <c r="N40" s="7" t="s">
        <v>1100</v>
      </c>
      <c r="O40" s="7" t="s">
        <v>1101</v>
      </c>
      <c r="P40" s="7" t="s">
        <v>1102</v>
      </c>
      <c r="Q40" s="7" t="s">
        <v>1103</v>
      </c>
      <c r="R40" s="7" t="s">
        <v>1104</v>
      </c>
      <c r="S40" s="7" t="s">
        <v>246</v>
      </c>
      <c r="T40" s="7" t="s">
        <v>1105</v>
      </c>
      <c r="U40" s="7" t="s">
        <v>1106</v>
      </c>
      <c r="V40" s="7" t="s">
        <v>1107</v>
      </c>
      <c r="W40" s="7" t="s">
        <v>290</v>
      </c>
      <c r="X40" s="7" t="s">
        <v>378</v>
      </c>
      <c r="Y40" s="7" t="s">
        <v>377</v>
      </c>
      <c r="Z40" s="7" t="s">
        <v>378</v>
      </c>
      <c r="AA40" s="7" t="s">
        <v>378</v>
      </c>
      <c r="AB40" s="7" t="s">
        <v>255</v>
      </c>
      <c r="AC40" s="7" t="s">
        <v>1108</v>
      </c>
      <c r="AD40" s="7" t="s">
        <v>257</v>
      </c>
      <c r="AE40" s="7" t="s">
        <v>1109</v>
      </c>
      <c r="AF40" s="7" t="s">
        <v>259</v>
      </c>
      <c r="AG40" s="7" t="s">
        <v>386</v>
      </c>
      <c r="AH40" s="7" t="s">
        <v>1110</v>
      </c>
      <c r="AI40" s="7" t="s">
        <v>1111</v>
      </c>
      <c r="AJ40" s="7" t="s">
        <v>262</v>
      </c>
      <c r="AK40" s="7" t="s">
        <v>1112</v>
      </c>
      <c r="AL40" s="7" t="s">
        <v>736</v>
      </c>
      <c r="AM40" s="7" t="s">
        <v>262</v>
      </c>
      <c r="AN40" s="7" t="s">
        <v>262</v>
      </c>
      <c r="AO40" s="7" t="s">
        <v>1113</v>
      </c>
      <c r="AP40" s="7" t="s">
        <v>1114</v>
      </c>
      <c r="AQ40" s="7" t="s">
        <v>268</v>
      </c>
      <c r="AR40" s="7" t="s">
        <v>270</v>
      </c>
      <c r="AS40" s="7" t="s">
        <v>1115</v>
      </c>
      <c r="AT40" s="7" t="s">
        <v>1116</v>
      </c>
      <c r="AU40" s="7" t="s">
        <v>265</v>
      </c>
      <c r="AV40" s="7" t="s">
        <v>270</v>
      </c>
      <c r="AW40" s="7" t="s">
        <v>1117</v>
      </c>
      <c r="AX40" s="7" t="s">
        <v>1118</v>
      </c>
      <c r="AY40" s="7" t="s">
        <v>268</v>
      </c>
    </row>
    <row r="41" spans="1:51" ht="16.5" customHeight="1">
      <c r="A41" s="12">
        <v>45070.520242824074</v>
      </c>
      <c r="B41" s="7" t="s">
        <v>237</v>
      </c>
      <c r="C41" s="7">
        <v>34</v>
      </c>
      <c r="D41" s="7" t="s">
        <v>141</v>
      </c>
      <c r="E41" s="7" t="s">
        <v>142</v>
      </c>
      <c r="F41" s="7">
        <v>2019</v>
      </c>
      <c r="G41" s="7" t="s">
        <v>143</v>
      </c>
      <c r="H41" s="7" t="s">
        <v>47</v>
      </c>
      <c r="I41" s="7" t="s">
        <v>128</v>
      </c>
      <c r="J41" s="7">
        <v>7</v>
      </c>
      <c r="K41" s="7" t="s">
        <v>1119</v>
      </c>
      <c r="L41" s="7" t="s">
        <v>1120</v>
      </c>
      <c r="M41" s="7" t="s">
        <v>1121</v>
      </c>
      <c r="N41" s="7" t="s">
        <v>1122</v>
      </c>
      <c r="O41" s="7" t="s">
        <v>1123</v>
      </c>
      <c r="P41" s="7" t="s">
        <v>1124</v>
      </c>
      <c r="Q41" s="7" t="s">
        <v>1125</v>
      </c>
      <c r="R41" s="7" t="s">
        <v>1126</v>
      </c>
      <c r="S41" s="7" t="s">
        <v>246</v>
      </c>
      <c r="T41" s="7" t="s">
        <v>1127</v>
      </c>
      <c r="U41" s="7" t="s">
        <v>1128</v>
      </c>
      <c r="V41" s="7" t="s">
        <v>1129</v>
      </c>
      <c r="W41" s="7" t="s">
        <v>290</v>
      </c>
      <c r="X41" s="7" t="s">
        <v>378</v>
      </c>
      <c r="Y41" s="7" t="s">
        <v>321</v>
      </c>
      <c r="Z41" s="7" t="s">
        <v>1130</v>
      </c>
      <c r="AA41" s="7" t="s">
        <v>1131</v>
      </c>
      <c r="AB41" s="7" t="s">
        <v>255</v>
      </c>
      <c r="AC41" s="7" t="s">
        <v>1132</v>
      </c>
      <c r="AD41" s="7" t="s">
        <v>257</v>
      </c>
      <c r="AE41" s="7" t="s">
        <v>1133</v>
      </c>
      <c r="AF41" s="7" t="s">
        <v>1134</v>
      </c>
      <c r="AG41" s="7" t="s">
        <v>1135</v>
      </c>
      <c r="AH41" s="7" t="s">
        <v>1136</v>
      </c>
      <c r="AI41" s="7" t="s">
        <v>262</v>
      </c>
      <c r="AJ41" s="7" t="s">
        <v>262</v>
      </c>
      <c r="AK41" s="7" t="s">
        <v>1137</v>
      </c>
      <c r="AL41" s="7" t="s">
        <v>264</v>
      </c>
      <c r="AM41" s="7" t="s">
        <v>265</v>
      </c>
      <c r="AN41" s="7" t="s">
        <v>265</v>
      </c>
      <c r="AO41" s="7" t="s">
        <v>1138</v>
      </c>
      <c r="AP41" s="7" t="s">
        <v>1139</v>
      </c>
      <c r="AQ41" s="7" t="s">
        <v>268</v>
      </c>
      <c r="AR41" s="7" t="s">
        <v>1140</v>
      </c>
      <c r="AS41" s="7" t="s">
        <v>270</v>
      </c>
      <c r="AT41" s="7" t="s">
        <v>1141</v>
      </c>
      <c r="AU41" s="7" t="s">
        <v>305</v>
      </c>
      <c r="AV41" s="7" t="s">
        <v>1142</v>
      </c>
      <c r="AW41" s="7" t="s">
        <v>1143</v>
      </c>
      <c r="AX41" s="7" t="s">
        <v>1144</v>
      </c>
      <c r="AY41" s="7" t="s">
        <v>415</v>
      </c>
    </row>
    <row r="42" spans="1:51" ht="15.75" customHeight="1">
      <c r="A42" s="12">
        <v>45071.962277766201</v>
      </c>
      <c r="B42" s="7" t="s">
        <v>237</v>
      </c>
      <c r="C42" s="7">
        <v>35</v>
      </c>
      <c r="D42" s="7" t="s">
        <v>145</v>
      </c>
      <c r="E42" s="7" t="s">
        <v>146</v>
      </c>
      <c r="F42" s="7">
        <v>2020</v>
      </c>
      <c r="G42" s="7" t="s">
        <v>46</v>
      </c>
      <c r="H42" s="7" t="s">
        <v>47</v>
      </c>
      <c r="I42" s="7" t="s">
        <v>48</v>
      </c>
      <c r="J42" s="7">
        <v>16</v>
      </c>
      <c r="K42" s="7" t="s">
        <v>1145</v>
      </c>
      <c r="L42" s="7" t="s">
        <v>1146</v>
      </c>
      <c r="M42" s="7" t="s">
        <v>366</v>
      </c>
      <c r="N42" s="7" t="s">
        <v>619</v>
      </c>
      <c r="O42" s="7" t="s">
        <v>1081</v>
      </c>
      <c r="P42" s="7" t="s">
        <v>1147</v>
      </c>
      <c r="Q42" s="7" t="s">
        <v>1148</v>
      </c>
      <c r="R42" s="7" t="s">
        <v>1149</v>
      </c>
      <c r="S42" s="7" t="s">
        <v>246</v>
      </c>
      <c r="T42" s="7" t="s">
        <v>1150</v>
      </c>
      <c r="U42" s="7" t="s">
        <v>1151</v>
      </c>
      <c r="V42" s="7" t="s">
        <v>1152</v>
      </c>
      <c r="W42" s="7" t="s">
        <v>290</v>
      </c>
      <c r="X42" s="7" t="s">
        <v>515</v>
      </c>
      <c r="Y42" s="7" t="s">
        <v>321</v>
      </c>
      <c r="Z42" s="7" t="s">
        <v>1153</v>
      </c>
      <c r="AA42" s="7" t="s">
        <v>1154</v>
      </c>
      <c r="AB42" s="7" t="s">
        <v>379</v>
      </c>
      <c r="AC42" s="7" t="s">
        <v>1155</v>
      </c>
      <c r="AD42" s="7" t="s">
        <v>257</v>
      </c>
      <c r="AE42" s="7" t="s">
        <v>1156</v>
      </c>
      <c r="AF42" s="7" t="s">
        <v>671</v>
      </c>
      <c r="AG42" s="7" t="s">
        <v>1157</v>
      </c>
      <c r="AH42" s="7" t="s">
        <v>1158</v>
      </c>
      <c r="AI42" s="7" t="s">
        <v>262</v>
      </c>
      <c r="AJ42" s="7" t="s">
        <v>265</v>
      </c>
      <c r="AK42" s="7" t="s">
        <v>1159</v>
      </c>
      <c r="AL42" s="7" t="s">
        <v>1160</v>
      </c>
      <c r="AM42" s="7" t="s">
        <v>265</v>
      </c>
      <c r="AN42" s="7" t="s">
        <v>265</v>
      </c>
      <c r="AO42" s="7" t="s">
        <v>1161</v>
      </c>
      <c r="AP42" s="7" t="s">
        <v>1162</v>
      </c>
      <c r="AQ42" s="7" t="s">
        <v>268</v>
      </c>
      <c r="AR42" s="7" t="s">
        <v>270</v>
      </c>
      <c r="AS42" s="7" t="s">
        <v>1163</v>
      </c>
      <c r="AT42" s="7" t="s">
        <v>1164</v>
      </c>
      <c r="AU42" s="7" t="s">
        <v>305</v>
      </c>
      <c r="AV42" s="7" t="s">
        <v>1165</v>
      </c>
      <c r="AW42" s="7" t="s">
        <v>1166</v>
      </c>
      <c r="AX42" s="7" t="s">
        <v>1167</v>
      </c>
      <c r="AY42" s="7" t="s">
        <v>268</v>
      </c>
    </row>
    <row r="43" spans="1:51" ht="18" customHeight="1">
      <c r="A43" s="12">
        <v>45072.7136828125</v>
      </c>
      <c r="B43" s="7" t="s">
        <v>237</v>
      </c>
      <c r="C43" s="7">
        <v>36</v>
      </c>
      <c r="D43" s="10" t="s">
        <v>148</v>
      </c>
      <c r="E43" s="7" t="s">
        <v>149</v>
      </c>
      <c r="F43" s="7">
        <v>2016</v>
      </c>
      <c r="G43" s="7" t="s">
        <v>150</v>
      </c>
      <c r="H43" s="7" t="s">
        <v>12</v>
      </c>
      <c r="I43" s="7" t="s">
        <v>48</v>
      </c>
      <c r="J43" s="7">
        <v>4</v>
      </c>
      <c r="K43" s="7" t="s">
        <v>1168</v>
      </c>
      <c r="L43" s="7" t="s">
        <v>1169</v>
      </c>
      <c r="M43" s="7" t="s">
        <v>532</v>
      </c>
      <c r="N43" s="7" t="s">
        <v>312</v>
      </c>
      <c r="O43" s="7" t="s">
        <v>1170</v>
      </c>
      <c r="P43" s="7" t="s">
        <v>1171</v>
      </c>
      <c r="Q43" s="7" t="s">
        <v>1172</v>
      </c>
      <c r="R43" s="7" t="s">
        <v>1173</v>
      </c>
      <c r="S43" s="7" t="s">
        <v>246</v>
      </c>
      <c r="T43" s="7" t="s">
        <v>1174</v>
      </c>
      <c r="U43" s="7" t="s">
        <v>1175</v>
      </c>
      <c r="V43" s="7" t="s">
        <v>1176</v>
      </c>
      <c r="W43" s="7" t="s">
        <v>290</v>
      </c>
      <c r="X43" s="7" t="s">
        <v>515</v>
      </c>
      <c r="Y43" s="7" t="s">
        <v>252</v>
      </c>
      <c r="Z43" s="7" t="s">
        <v>1177</v>
      </c>
      <c r="AA43" s="7" t="s">
        <v>1178</v>
      </c>
      <c r="AB43" s="7" t="s">
        <v>255</v>
      </c>
      <c r="AC43" s="7" t="s">
        <v>1179</v>
      </c>
      <c r="AD43" s="7" t="s">
        <v>257</v>
      </c>
      <c r="AE43" s="7" t="s">
        <v>1180</v>
      </c>
      <c r="AF43" s="7" t="s">
        <v>1181</v>
      </c>
      <c r="AG43" s="7" t="s">
        <v>1182</v>
      </c>
      <c r="AH43" s="7" t="s">
        <v>1183</v>
      </c>
      <c r="AI43" s="7" t="s">
        <v>262</v>
      </c>
      <c r="AJ43" s="7" t="s">
        <v>262</v>
      </c>
      <c r="AK43" s="7" t="s">
        <v>328</v>
      </c>
      <c r="AL43" s="7" t="s">
        <v>264</v>
      </c>
      <c r="AM43" s="7" t="s">
        <v>385</v>
      </c>
      <c r="AO43" s="7" t="s">
        <v>1184</v>
      </c>
      <c r="AP43" s="7" t="s">
        <v>1185</v>
      </c>
      <c r="AQ43" s="7" t="s">
        <v>268</v>
      </c>
      <c r="AR43" s="7" t="s">
        <v>270</v>
      </c>
      <c r="AS43" s="7" t="s">
        <v>270</v>
      </c>
      <c r="AT43" s="7" t="s">
        <v>1186</v>
      </c>
      <c r="AU43" s="7" t="s">
        <v>305</v>
      </c>
      <c r="AV43" s="7" t="s">
        <v>1187</v>
      </c>
      <c r="AW43" s="7" t="s">
        <v>1188</v>
      </c>
      <c r="AX43" s="7" t="s">
        <v>1189</v>
      </c>
      <c r="AY43" s="7" t="s">
        <v>415</v>
      </c>
    </row>
    <row r="44" spans="1:51" ht="16.5" customHeight="1">
      <c r="A44" s="12">
        <v>45073.866657361112</v>
      </c>
      <c r="B44" s="7" t="s">
        <v>237</v>
      </c>
      <c r="C44" s="7">
        <v>37</v>
      </c>
      <c r="D44" s="7" t="s">
        <v>152</v>
      </c>
      <c r="E44" s="7" t="s">
        <v>153</v>
      </c>
      <c r="F44" s="7">
        <v>2022</v>
      </c>
      <c r="G44" s="7" t="s">
        <v>154</v>
      </c>
      <c r="H44" s="7" t="s">
        <v>12</v>
      </c>
      <c r="I44" s="7" t="s">
        <v>48</v>
      </c>
      <c r="J44" s="7">
        <v>1</v>
      </c>
      <c r="K44" s="7" t="s">
        <v>1190</v>
      </c>
      <c r="L44" s="7" t="s">
        <v>1191</v>
      </c>
      <c r="M44" s="7" t="s">
        <v>366</v>
      </c>
      <c r="N44" s="7" t="s">
        <v>1192</v>
      </c>
      <c r="O44" s="7" t="s">
        <v>313</v>
      </c>
      <c r="P44" s="7" t="s">
        <v>1193</v>
      </c>
      <c r="Q44" s="7" t="s">
        <v>1194</v>
      </c>
      <c r="R44" s="7" t="s">
        <v>1195</v>
      </c>
      <c r="S44" s="7" t="s">
        <v>246</v>
      </c>
      <c r="T44" s="7" t="s">
        <v>1196</v>
      </c>
      <c r="U44" s="7" t="s">
        <v>1197</v>
      </c>
      <c r="V44" s="7" t="s">
        <v>1198</v>
      </c>
      <c r="W44" s="7" t="s">
        <v>290</v>
      </c>
      <c r="X44" s="7" t="s">
        <v>291</v>
      </c>
      <c r="Y44" s="7" t="s">
        <v>321</v>
      </c>
      <c r="Z44" s="7" t="s">
        <v>1199</v>
      </c>
      <c r="AA44" s="7" t="s">
        <v>1200</v>
      </c>
      <c r="AB44" s="7" t="s">
        <v>255</v>
      </c>
      <c r="AC44" s="7" t="s">
        <v>1201</v>
      </c>
      <c r="AD44" s="7" t="s">
        <v>257</v>
      </c>
      <c r="AE44" s="7" t="s">
        <v>1202</v>
      </c>
      <c r="AF44" s="7" t="s">
        <v>671</v>
      </c>
      <c r="AG44" s="7" t="s">
        <v>1203</v>
      </c>
      <c r="AH44" s="7" t="s">
        <v>1204</v>
      </c>
      <c r="AI44" s="7" t="s">
        <v>262</v>
      </c>
      <c r="AJ44" s="7" t="s">
        <v>262</v>
      </c>
      <c r="AK44" s="7" t="s">
        <v>432</v>
      </c>
      <c r="AL44" s="7" t="s">
        <v>264</v>
      </c>
      <c r="AM44" s="7" t="s">
        <v>385</v>
      </c>
      <c r="AO44" s="7" t="s">
        <v>1205</v>
      </c>
      <c r="AP44" s="7" t="s">
        <v>1206</v>
      </c>
      <c r="AQ44" s="7" t="s">
        <v>268</v>
      </c>
      <c r="AR44" s="7" t="s">
        <v>1207</v>
      </c>
      <c r="AS44" s="7" t="s">
        <v>1208</v>
      </c>
      <c r="AT44" s="7" t="s">
        <v>1209</v>
      </c>
      <c r="AU44" s="7" t="s">
        <v>265</v>
      </c>
      <c r="AV44" s="7" t="s">
        <v>270</v>
      </c>
      <c r="AW44" s="7" t="s">
        <v>1210</v>
      </c>
      <c r="AX44" s="7" t="s">
        <v>1211</v>
      </c>
      <c r="AY44" s="7" t="s">
        <v>415</v>
      </c>
    </row>
    <row r="45" spans="1:51" ht="16.5" customHeight="1">
      <c r="A45" s="12">
        <v>45074.875138240735</v>
      </c>
      <c r="B45" s="7" t="s">
        <v>237</v>
      </c>
      <c r="C45" s="7">
        <v>38</v>
      </c>
      <c r="D45" s="7" t="s">
        <v>156</v>
      </c>
      <c r="E45" s="7" t="s">
        <v>157</v>
      </c>
      <c r="F45" s="7">
        <v>2022</v>
      </c>
      <c r="G45" s="7" t="s">
        <v>158</v>
      </c>
      <c r="H45" s="7" t="s">
        <v>12</v>
      </c>
      <c r="I45" s="7" t="s">
        <v>48</v>
      </c>
      <c r="J45" s="7">
        <v>5</v>
      </c>
      <c r="K45" s="7" t="s">
        <v>1212</v>
      </c>
      <c r="L45" s="7" t="s">
        <v>1213</v>
      </c>
      <c r="M45" s="7" t="s">
        <v>366</v>
      </c>
      <c r="N45" s="7" t="s">
        <v>1214</v>
      </c>
      <c r="O45" s="7" t="s">
        <v>1215</v>
      </c>
      <c r="P45" s="7" t="s">
        <v>1216</v>
      </c>
      <c r="Q45" s="7" t="s">
        <v>1217</v>
      </c>
      <c r="R45" s="7" t="s">
        <v>1218</v>
      </c>
      <c r="S45" s="7" t="s">
        <v>246</v>
      </c>
      <c r="T45" s="7" t="s">
        <v>1219</v>
      </c>
      <c r="U45" s="7" t="s">
        <v>1220</v>
      </c>
      <c r="V45" s="7" t="s">
        <v>1221</v>
      </c>
      <c r="W45" s="7" t="s">
        <v>514</v>
      </c>
      <c r="X45" s="7" t="s">
        <v>378</v>
      </c>
      <c r="Y45" s="7" t="s">
        <v>321</v>
      </c>
      <c r="Z45" s="7" t="s">
        <v>1222</v>
      </c>
      <c r="AA45" s="7" t="s">
        <v>1223</v>
      </c>
      <c r="AB45" s="7" t="s">
        <v>255</v>
      </c>
      <c r="AC45" s="7" t="s">
        <v>1224</v>
      </c>
      <c r="AD45" s="7" t="s">
        <v>257</v>
      </c>
      <c r="AE45" s="7" t="s">
        <v>1225</v>
      </c>
      <c r="AF45" s="7" t="s">
        <v>671</v>
      </c>
      <c r="AG45" s="7" t="s">
        <v>1226</v>
      </c>
      <c r="AH45" s="7" t="s">
        <v>1227</v>
      </c>
      <c r="AI45" s="7" t="s">
        <v>262</v>
      </c>
      <c r="AJ45" s="7" t="s">
        <v>262</v>
      </c>
      <c r="AK45" s="7" t="s">
        <v>1228</v>
      </c>
      <c r="AL45" s="7" t="s">
        <v>264</v>
      </c>
      <c r="AM45" s="7" t="s">
        <v>385</v>
      </c>
      <c r="AO45" s="7" t="s">
        <v>1229</v>
      </c>
      <c r="AP45" s="7" t="s">
        <v>1230</v>
      </c>
      <c r="AQ45" s="7" t="s">
        <v>268</v>
      </c>
      <c r="AR45" s="7" t="s">
        <v>1231</v>
      </c>
      <c r="AS45" s="7" t="s">
        <v>1232</v>
      </c>
      <c r="AT45" s="7" t="s">
        <v>1233</v>
      </c>
      <c r="AU45" s="7" t="s">
        <v>305</v>
      </c>
      <c r="AV45" s="7" t="s">
        <v>325</v>
      </c>
      <c r="AW45" s="7" t="s">
        <v>1234</v>
      </c>
      <c r="AX45" s="7" t="s">
        <v>1235</v>
      </c>
      <c r="AY45" s="7" t="s">
        <v>351</v>
      </c>
    </row>
    <row r="46" spans="1:51" ht="16.5" customHeight="1">
      <c r="A46" s="12">
        <v>45075.578605104165</v>
      </c>
      <c r="B46" s="7" t="s">
        <v>237</v>
      </c>
      <c r="C46" s="7">
        <v>39</v>
      </c>
      <c r="D46" s="7" t="s">
        <v>160</v>
      </c>
      <c r="E46" s="7" t="s">
        <v>161</v>
      </c>
      <c r="F46" s="7">
        <v>2023</v>
      </c>
      <c r="G46" s="7" t="s">
        <v>162</v>
      </c>
      <c r="H46" s="7" t="s">
        <v>47</v>
      </c>
      <c r="I46" s="7" t="s">
        <v>48</v>
      </c>
      <c r="J46" s="7">
        <v>0</v>
      </c>
      <c r="K46" s="7" t="s">
        <v>1236</v>
      </c>
      <c r="L46" s="7" t="s">
        <v>1237</v>
      </c>
      <c r="M46" s="7" t="s">
        <v>532</v>
      </c>
      <c r="N46" s="7" t="s">
        <v>619</v>
      </c>
      <c r="O46" s="7" t="s">
        <v>1238</v>
      </c>
      <c r="P46" s="7" t="s">
        <v>1239</v>
      </c>
      <c r="Q46" s="7" t="s">
        <v>1240</v>
      </c>
      <c r="R46" s="16" t="s">
        <v>1241</v>
      </c>
      <c r="S46" s="7" t="s">
        <v>317</v>
      </c>
      <c r="T46" s="7" t="s">
        <v>1242</v>
      </c>
      <c r="U46" s="7" t="s">
        <v>1243</v>
      </c>
      <c r="V46" s="7" t="s">
        <v>1244</v>
      </c>
      <c r="W46" s="7" t="s">
        <v>290</v>
      </c>
      <c r="X46" s="7" t="s">
        <v>515</v>
      </c>
      <c r="Y46" s="7" t="s">
        <v>321</v>
      </c>
      <c r="Z46" s="7" t="s">
        <v>1245</v>
      </c>
      <c r="AA46" s="7" t="s">
        <v>293</v>
      </c>
      <c r="AB46" s="7" t="s">
        <v>379</v>
      </c>
      <c r="AC46" s="7" t="s">
        <v>1246</v>
      </c>
      <c r="AD46" s="7" t="s">
        <v>257</v>
      </c>
      <c r="AE46" s="7" t="s">
        <v>1247</v>
      </c>
      <c r="AF46" s="7" t="s">
        <v>1248</v>
      </c>
      <c r="AG46" s="7" t="s">
        <v>325</v>
      </c>
      <c r="AH46" s="7" t="s">
        <v>1249</v>
      </c>
      <c r="AI46" s="7" t="s">
        <v>262</v>
      </c>
      <c r="AJ46" s="7" t="s">
        <v>262</v>
      </c>
      <c r="AK46" s="7" t="s">
        <v>328</v>
      </c>
      <c r="AL46" s="7" t="s">
        <v>264</v>
      </c>
      <c r="AM46" s="7" t="s">
        <v>265</v>
      </c>
      <c r="AN46" s="7" t="s">
        <v>265</v>
      </c>
      <c r="AO46" s="7" t="s">
        <v>1250</v>
      </c>
      <c r="AP46" s="7" t="s">
        <v>1251</v>
      </c>
      <c r="AQ46" s="7" t="s">
        <v>268</v>
      </c>
      <c r="AR46" s="7" t="s">
        <v>1252</v>
      </c>
      <c r="AS46" s="7" t="s">
        <v>270</v>
      </c>
      <c r="AT46" s="7" t="s">
        <v>1253</v>
      </c>
      <c r="AU46" s="7" t="s">
        <v>262</v>
      </c>
      <c r="AV46" s="7" t="s">
        <v>1254</v>
      </c>
      <c r="AW46" s="7" t="s">
        <v>1255</v>
      </c>
      <c r="AX46" s="7" t="s">
        <v>1256</v>
      </c>
      <c r="AY46" s="7" t="s">
        <v>268</v>
      </c>
    </row>
    <row r="47" spans="1:51" ht="17.25" customHeight="1">
      <c r="A47" s="12">
        <v>45075.839614317127</v>
      </c>
      <c r="B47" s="7" t="s">
        <v>237</v>
      </c>
      <c r="C47" s="7">
        <v>40</v>
      </c>
      <c r="D47" s="7" t="s">
        <v>164</v>
      </c>
      <c r="E47" s="7" t="s">
        <v>165</v>
      </c>
      <c r="F47" s="7">
        <v>2019</v>
      </c>
      <c r="G47" s="7" t="s">
        <v>166</v>
      </c>
      <c r="H47" s="7" t="s">
        <v>167</v>
      </c>
      <c r="I47" s="7" t="s">
        <v>48</v>
      </c>
      <c r="J47" s="7">
        <v>1</v>
      </c>
      <c r="K47" s="7" t="s">
        <v>1257</v>
      </c>
      <c r="L47" s="7" t="s">
        <v>1258</v>
      </c>
      <c r="M47" s="7" t="s">
        <v>788</v>
      </c>
      <c r="N47" s="7" t="s">
        <v>1259</v>
      </c>
      <c r="O47" s="7" t="s">
        <v>1260</v>
      </c>
      <c r="P47" s="7" t="s">
        <v>1261</v>
      </c>
      <c r="Q47" s="7" t="s">
        <v>1262</v>
      </c>
      <c r="R47" s="7" t="s">
        <v>1263</v>
      </c>
      <c r="S47" s="7" t="s">
        <v>317</v>
      </c>
      <c r="T47" s="7" t="s">
        <v>1264</v>
      </c>
      <c r="U47" s="7" t="s">
        <v>1265</v>
      </c>
      <c r="V47" s="7" t="s">
        <v>1266</v>
      </c>
      <c r="W47" s="7" t="s">
        <v>290</v>
      </c>
      <c r="X47" s="7" t="s">
        <v>378</v>
      </c>
      <c r="Y47" s="7" t="s">
        <v>377</v>
      </c>
      <c r="Z47" s="7" t="s">
        <v>1267</v>
      </c>
      <c r="AB47" s="7" t="s">
        <v>255</v>
      </c>
      <c r="AC47" s="7" t="s">
        <v>1072</v>
      </c>
      <c r="AD47" s="7" t="s">
        <v>257</v>
      </c>
      <c r="AE47" s="7" t="s">
        <v>1268</v>
      </c>
      <c r="AF47" s="7" t="s">
        <v>351</v>
      </c>
      <c r="AG47" s="7" t="s">
        <v>1269</v>
      </c>
      <c r="AH47" s="7" t="s">
        <v>1270</v>
      </c>
      <c r="AI47" s="7" t="s">
        <v>262</v>
      </c>
      <c r="AJ47" s="7" t="s">
        <v>262</v>
      </c>
      <c r="AK47" s="7" t="s">
        <v>1271</v>
      </c>
      <c r="AL47" s="7" t="s">
        <v>264</v>
      </c>
      <c r="AM47" s="7" t="s">
        <v>385</v>
      </c>
      <c r="AO47" s="7" t="s">
        <v>386</v>
      </c>
      <c r="AP47" s="7" t="s">
        <v>325</v>
      </c>
      <c r="AQ47" s="7" t="s">
        <v>268</v>
      </c>
      <c r="AR47" s="7" t="s">
        <v>270</v>
      </c>
      <c r="AS47" s="7" t="s">
        <v>1272</v>
      </c>
      <c r="AT47" s="7" t="s">
        <v>1273</v>
      </c>
      <c r="AU47" s="7" t="s">
        <v>305</v>
      </c>
      <c r="AV47" s="7" t="s">
        <v>270</v>
      </c>
      <c r="AW47" s="7" t="s">
        <v>1274</v>
      </c>
      <c r="AX47" s="7" t="s">
        <v>1275</v>
      </c>
      <c r="AY47" s="7" t="s">
        <v>351</v>
      </c>
    </row>
    <row r="48" spans="1:51" ht="16.5" customHeight="1">
      <c r="A48" s="12">
        <v>45075.920670208332</v>
      </c>
      <c r="B48" s="7" t="s">
        <v>237</v>
      </c>
      <c r="C48" s="7">
        <v>41</v>
      </c>
      <c r="D48" s="7" t="s">
        <v>169</v>
      </c>
      <c r="E48" s="7" t="s">
        <v>170</v>
      </c>
      <c r="F48" s="7">
        <v>2008</v>
      </c>
      <c r="G48" s="7" t="s">
        <v>171</v>
      </c>
      <c r="H48" s="7" t="s">
        <v>12</v>
      </c>
      <c r="I48" s="7" t="s">
        <v>48</v>
      </c>
      <c r="J48" s="7">
        <v>298</v>
      </c>
      <c r="K48" s="7" t="s">
        <v>1276</v>
      </c>
      <c r="L48" s="7" t="s">
        <v>1277</v>
      </c>
      <c r="M48" s="7" t="s">
        <v>366</v>
      </c>
      <c r="N48" s="7" t="s">
        <v>1278</v>
      </c>
      <c r="O48" s="7" t="s">
        <v>313</v>
      </c>
      <c r="P48" s="7" t="s">
        <v>620</v>
      </c>
      <c r="Q48" s="7" t="s">
        <v>1279</v>
      </c>
      <c r="R48" s="7" t="s">
        <v>1280</v>
      </c>
      <c r="S48" s="7" t="s">
        <v>317</v>
      </c>
      <c r="T48" s="7" t="s">
        <v>1281</v>
      </c>
      <c r="U48" s="7" t="s">
        <v>1282</v>
      </c>
      <c r="V48" s="7" t="s">
        <v>1283</v>
      </c>
      <c r="W48" s="7" t="s">
        <v>290</v>
      </c>
      <c r="X48" s="7" t="s">
        <v>291</v>
      </c>
      <c r="Y48" s="7" t="s">
        <v>252</v>
      </c>
      <c r="Z48" s="7" t="s">
        <v>1284</v>
      </c>
      <c r="AA48" s="7" t="s">
        <v>1285</v>
      </c>
      <c r="AB48" s="7" t="s">
        <v>255</v>
      </c>
      <c r="AC48" s="7" t="s">
        <v>1286</v>
      </c>
      <c r="AD48" s="7" t="s">
        <v>257</v>
      </c>
      <c r="AE48" s="7" t="s">
        <v>1287</v>
      </c>
      <c r="AF48" s="7" t="s">
        <v>351</v>
      </c>
      <c r="AG48" s="7" t="s">
        <v>325</v>
      </c>
      <c r="AH48" s="7" t="s">
        <v>1288</v>
      </c>
      <c r="AI48" s="7" t="s">
        <v>262</v>
      </c>
      <c r="AJ48" s="7" t="s">
        <v>262</v>
      </c>
      <c r="AK48" s="7" t="s">
        <v>942</v>
      </c>
      <c r="AL48" s="7" t="s">
        <v>264</v>
      </c>
      <c r="AM48" s="7" t="s">
        <v>385</v>
      </c>
      <c r="AO48" s="7" t="s">
        <v>325</v>
      </c>
      <c r="AP48" s="7" t="s">
        <v>325</v>
      </c>
      <c r="AQ48" s="7" t="s">
        <v>268</v>
      </c>
      <c r="AR48" s="7" t="s">
        <v>1289</v>
      </c>
      <c r="AS48" s="7" t="s">
        <v>1290</v>
      </c>
      <c r="AT48" s="7" t="s">
        <v>1291</v>
      </c>
      <c r="AU48" s="7" t="s">
        <v>265</v>
      </c>
      <c r="AV48" s="7" t="s">
        <v>270</v>
      </c>
      <c r="AW48" s="7" t="s">
        <v>1292</v>
      </c>
      <c r="AX48" s="7" t="s">
        <v>270</v>
      </c>
      <c r="AY48" s="7" t="s">
        <v>415</v>
      </c>
    </row>
    <row r="49" spans="1:51" ht="15.75" customHeight="1">
      <c r="A49" s="12">
        <v>45076.603294305554</v>
      </c>
      <c r="B49" s="7" t="s">
        <v>237</v>
      </c>
      <c r="C49" s="7">
        <v>42</v>
      </c>
      <c r="D49" s="7" t="s">
        <v>173</v>
      </c>
      <c r="E49" s="7" t="s">
        <v>174</v>
      </c>
      <c r="F49" s="7">
        <v>2018</v>
      </c>
      <c r="G49" s="7" t="s">
        <v>175</v>
      </c>
      <c r="H49" s="7" t="s">
        <v>47</v>
      </c>
      <c r="I49" s="7" t="s">
        <v>48</v>
      </c>
      <c r="J49" s="7">
        <v>19</v>
      </c>
      <c r="K49" s="7" t="s">
        <v>1293</v>
      </c>
      <c r="L49" s="7" t="s">
        <v>1294</v>
      </c>
      <c r="M49" s="7" t="s">
        <v>554</v>
      </c>
      <c r="N49" s="7" t="s">
        <v>1295</v>
      </c>
      <c r="O49" s="7" t="s">
        <v>419</v>
      </c>
      <c r="P49" s="7" t="s">
        <v>1296</v>
      </c>
      <c r="Q49" s="7" t="s">
        <v>1297</v>
      </c>
      <c r="R49" s="7" t="s">
        <v>1298</v>
      </c>
      <c r="S49" s="7" t="s">
        <v>317</v>
      </c>
      <c r="T49" s="7" t="s">
        <v>1299</v>
      </c>
      <c r="U49" s="7" t="s">
        <v>1300</v>
      </c>
      <c r="V49" s="7" t="s">
        <v>1301</v>
      </c>
      <c r="W49" s="7" t="s">
        <v>290</v>
      </c>
      <c r="X49" s="7" t="s">
        <v>291</v>
      </c>
      <c r="Y49" s="7" t="s">
        <v>252</v>
      </c>
      <c r="Z49" s="7" t="s">
        <v>1302</v>
      </c>
      <c r="AA49" s="7" t="s">
        <v>427</v>
      </c>
      <c r="AB49" s="7" t="s">
        <v>255</v>
      </c>
      <c r="AC49" s="7" t="s">
        <v>1286</v>
      </c>
      <c r="AD49" s="7" t="s">
        <v>257</v>
      </c>
      <c r="AE49" s="7" t="s">
        <v>1303</v>
      </c>
      <c r="AF49" s="7" t="s">
        <v>586</v>
      </c>
      <c r="AG49" s="7" t="s">
        <v>325</v>
      </c>
      <c r="AH49" s="7" t="s">
        <v>1304</v>
      </c>
      <c r="AI49" s="7" t="s">
        <v>262</v>
      </c>
      <c r="AJ49" s="7" t="s">
        <v>262</v>
      </c>
      <c r="AK49" s="7" t="s">
        <v>1305</v>
      </c>
      <c r="AL49" s="7" t="s">
        <v>264</v>
      </c>
      <c r="AM49" s="7" t="s">
        <v>265</v>
      </c>
      <c r="AN49" s="7" t="s">
        <v>265</v>
      </c>
      <c r="AO49" s="7" t="s">
        <v>1306</v>
      </c>
      <c r="AP49" s="7" t="s">
        <v>325</v>
      </c>
      <c r="AQ49" s="7" t="s">
        <v>268</v>
      </c>
      <c r="AR49" s="7" t="s">
        <v>1307</v>
      </c>
      <c r="AS49" s="7" t="s">
        <v>270</v>
      </c>
      <c r="AT49" s="7" t="s">
        <v>1308</v>
      </c>
      <c r="AU49" s="7" t="s">
        <v>305</v>
      </c>
      <c r="AV49" s="7" t="s">
        <v>270</v>
      </c>
      <c r="AW49" s="7" t="s">
        <v>1309</v>
      </c>
      <c r="AX49" s="7" t="s">
        <v>1310</v>
      </c>
      <c r="AY49" s="7" t="s">
        <v>415</v>
      </c>
    </row>
    <row r="50" spans="1:51" ht="15.75" customHeight="1">
      <c r="A50" s="12">
        <v>45076.663236608802</v>
      </c>
      <c r="B50" s="7" t="s">
        <v>237</v>
      </c>
      <c r="C50" s="7">
        <v>43</v>
      </c>
      <c r="D50" s="7" t="s">
        <v>177</v>
      </c>
      <c r="E50" s="7" t="s">
        <v>178</v>
      </c>
      <c r="F50" s="7">
        <v>2011</v>
      </c>
      <c r="G50" s="7" t="s">
        <v>179</v>
      </c>
      <c r="H50" s="7" t="s">
        <v>25</v>
      </c>
      <c r="I50" s="7" t="s">
        <v>48</v>
      </c>
      <c r="J50" s="7">
        <v>54</v>
      </c>
      <c r="K50" s="7" t="s">
        <v>1311</v>
      </c>
      <c r="L50" s="7" t="s">
        <v>1312</v>
      </c>
      <c r="M50" s="7" t="s">
        <v>366</v>
      </c>
      <c r="N50" s="7" t="s">
        <v>1313</v>
      </c>
      <c r="O50" s="7" t="s">
        <v>1081</v>
      </c>
      <c r="P50" s="7" t="s">
        <v>1314</v>
      </c>
      <c r="Q50" s="7" t="s">
        <v>1315</v>
      </c>
      <c r="R50" s="7" t="s">
        <v>1316</v>
      </c>
      <c r="S50" s="7" t="s">
        <v>317</v>
      </c>
      <c r="T50" s="7" t="s">
        <v>1317</v>
      </c>
      <c r="U50" s="7" t="s">
        <v>1318</v>
      </c>
      <c r="V50" s="7" t="s">
        <v>1319</v>
      </c>
      <c r="W50" s="7" t="s">
        <v>290</v>
      </c>
      <c r="X50" s="7" t="s">
        <v>291</v>
      </c>
      <c r="Y50" s="7" t="s">
        <v>321</v>
      </c>
      <c r="Z50" s="7" t="s">
        <v>1320</v>
      </c>
      <c r="AA50" s="7" t="s">
        <v>1321</v>
      </c>
      <c r="AB50" s="7" t="s">
        <v>255</v>
      </c>
      <c r="AC50" s="7" t="s">
        <v>323</v>
      </c>
      <c r="AD50" s="7" t="s">
        <v>257</v>
      </c>
      <c r="AE50" s="7" t="s">
        <v>1322</v>
      </c>
      <c r="AF50" s="7" t="s">
        <v>351</v>
      </c>
      <c r="AG50" s="7" t="s">
        <v>325</v>
      </c>
      <c r="AH50" s="7" t="s">
        <v>1323</v>
      </c>
      <c r="AI50" s="7" t="s">
        <v>262</v>
      </c>
      <c r="AJ50" s="7" t="s">
        <v>262</v>
      </c>
      <c r="AK50" s="7" t="s">
        <v>1324</v>
      </c>
      <c r="AL50" s="7" t="s">
        <v>264</v>
      </c>
      <c r="AP50" s="7" t="s">
        <v>325</v>
      </c>
      <c r="AQ50" s="7" t="s">
        <v>409</v>
      </c>
      <c r="AT50" s="7" t="s">
        <v>1325</v>
      </c>
      <c r="AU50" s="7" t="s">
        <v>305</v>
      </c>
      <c r="AV50" s="7" t="s">
        <v>270</v>
      </c>
      <c r="AW50" s="7" t="s">
        <v>1326</v>
      </c>
      <c r="AX50" s="7" t="s">
        <v>1327</v>
      </c>
      <c r="AY50" s="7" t="s">
        <v>351</v>
      </c>
    </row>
    <row r="51" spans="1:51" ht="15" customHeight="1">
      <c r="A51" s="12">
        <v>45077.567308645834</v>
      </c>
      <c r="B51" s="7" t="s">
        <v>237</v>
      </c>
      <c r="C51" s="7">
        <v>44</v>
      </c>
      <c r="D51" s="7" t="s">
        <v>181</v>
      </c>
      <c r="E51" s="7" t="s">
        <v>182</v>
      </c>
      <c r="F51" s="7">
        <v>2021</v>
      </c>
      <c r="G51" s="7" t="s">
        <v>183</v>
      </c>
      <c r="H51" s="7" t="s">
        <v>167</v>
      </c>
      <c r="I51" s="7" t="s">
        <v>48</v>
      </c>
      <c r="J51" s="7">
        <v>5</v>
      </c>
      <c r="K51" s="7" t="s">
        <v>1328</v>
      </c>
      <c r="L51" s="7" t="s">
        <v>1329</v>
      </c>
      <c r="M51" s="7" t="s">
        <v>1330</v>
      </c>
      <c r="N51" s="7" t="s">
        <v>1331</v>
      </c>
      <c r="O51" s="7" t="s">
        <v>1332</v>
      </c>
      <c r="P51" s="7" t="s">
        <v>1333</v>
      </c>
      <c r="Q51" s="7" t="s">
        <v>1334</v>
      </c>
      <c r="R51" s="7" t="s">
        <v>1335</v>
      </c>
      <c r="S51" s="7" t="s">
        <v>317</v>
      </c>
      <c r="T51" s="7" t="s">
        <v>1336</v>
      </c>
      <c r="U51" s="7" t="s">
        <v>1337</v>
      </c>
      <c r="V51" s="7" t="s">
        <v>1338</v>
      </c>
      <c r="W51" s="7" t="s">
        <v>290</v>
      </c>
      <c r="X51" s="7" t="s">
        <v>378</v>
      </c>
      <c r="Y51" s="7" t="s">
        <v>252</v>
      </c>
      <c r="Z51" s="7" t="s">
        <v>1339</v>
      </c>
      <c r="AA51" s="7" t="s">
        <v>1340</v>
      </c>
      <c r="AB51" s="7" t="s">
        <v>255</v>
      </c>
      <c r="AC51" s="7" t="s">
        <v>1341</v>
      </c>
      <c r="AD51" s="7" t="s">
        <v>257</v>
      </c>
      <c r="AE51" s="7" t="s">
        <v>1342</v>
      </c>
      <c r="AF51" s="7" t="s">
        <v>586</v>
      </c>
      <c r="AG51" s="7" t="s">
        <v>1343</v>
      </c>
      <c r="AH51" s="7" t="s">
        <v>1344</v>
      </c>
      <c r="AI51" s="7" t="s">
        <v>262</v>
      </c>
      <c r="AJ51" s="7" t="s">
        <v>262</v>
      </c>
      <c r="AK51" s="7" t="s">
        <v>432</v>
      </c>
      <c r="AL51" s="7" t="s">
        <v>264</v>
      </c>
      <c r="AM51" s="7" t="s">
        <v>265</v>
      </c>
      <c r="AN51" s="7" t="s">
        <v>265</v>
      </c>
      <c r="AO51" s="7" t="s">
        <v>1345</v>
      </c>
      <c r="AP51" s="7" t="s">
        <v>325</v>
      </c>
      <c r="AQ51" s="7" t="s">
        <v>268</v>
      </c>
      <c r="AR51" s="7" t="s">
        <v>1346</v>
      </c>
      <c r="AS51" s="7" t="s">
        <v>1347</v>
      </c>
      <c r="AT51" s="7" t="s">
        <v>1348</v>
      </c>
      <c r="AU51" s="7" t="s">
        <v>265</v>
      </c>
      <c r="AV51" s="7" t="s">
        <v>270</v>
      </c>
      <c r="AW51" s="7" t="s">
        <v>1349</v>
      </c>
      <c r="AX51" s="7" t="s">
        <v>270</v>
      </c>
      <c r="AY51" s="7" t="s">
        <v>351</v>
      </c>
    </row>
    <row r="52" spans="1:51" ht="15.75" customHeight="1">
      <c r="A52" s="12">
        <v>45078.448436157407</v>
      </c>
      <c r="B52" s="7" t="s">
        <v>237</v>
      </c>
      <c r="C52" s="7">
        <v>45</v>
      </c>
      <c r="D52" s="7" t="s">
        <v>185</v>
      </c>
      <c r="E52" s="7" t="s">
        <v>186</v>
      </c>
      <c r="F52" s="7">
        <v>2021</v>
      </c>
      <c r="G52" s="7" t="s">
        <v>187</v>
      </c>
      <c r="H52" s="7" t="s">
        <v>47</v>
      </c>
      <c r="I52" s="7" t="s">
        <v>48</v>
      </c>
      <c r="J52" s="7">
        <v>11</v>
      </c>
      <c r="K52" s="7" t="s">
        <v>1350</v>
      </c>
      <c r="L52" s="7" t="s">
        <v>1351</v>
      </c>
      <c r="M52" s="7" t="s">
        <v>1352</v>
      </c>
      <c r="N52" s="7" t="s">
        <v>1353</v>
      </c>
      <c r="O52" s="7" t="s">
        <v>1353</v>
      </c>
      <c r="P52" s="7" t="s">
        <v>1354</v>
      </c>
      <c r="Q52" s="7" t="s">
        <v>1355</v>
      </c>
      <c r="R52" s="7" t="s">
        <v>1356</v>
      </c>
      <c r="S52" s="7" t="s">
        <v>317</v>
      </c>
      <c r="T52" s="7" t="s">
        <v>1357</v>
      </c>
      <c r="U52" s="7" t="s">
        <v>1358</v>
      </c>
      <c r="V52" s="7" t="s">
        <v>1359</v>
      </c>
      <c r="W52" s="7" t="s">
        <v>514</v>
      </c>
      <c r="X52" s="7" t="s">
        <v>291</v>
      </c>
      <c r="Y52" s="7" t="s">
        <v>252</v>
      </c>
      <c r="Z52" s="7" t="s">
        <v>1360</v>
      </c>
      <c r="AA52" s="7" t="s">
        <v>427</v>
      </c>
      <c r="AB52" s="7" t="s">
        <v>255</v>
      </c>
      <c r="AC52" s="7" t="s">
        <v>1361</v>
      </c>
      <c r="AD52" s="7" t="s">
        <v>257</v>
      </c>
      <c r="AE52" s="7" t="s">
        <v>1362</v>
      </c>
      <c r="AF52" s="7" t="s">
        <v>1363</v>
      </c>
      <c r="AG52" s="7" t="s">
        <v>1364</v>
      </c>
      <c r="AH52" s="7" t="s">
        <v>1365</v>
      </c>
      <c r="AI52" s="7" t="s">
        <v>1366</v>
      </c>
      <c r="AJ52" s="7" t="s">
        <v>262</v>
      </c>
      <c r="AK52" s="7" t="s">
        <v>1367</v>
      </c>
      <c r="AL52" s="7" t="s">
        <v>264</v>
      </c>
      <c r="AM52" s="7" t="s">
        <v>262</v>
      </c>
      <c r="AN52" s="7" t="s">
        <v>262</v>
      </c>
      <c r="AO52" s="7" t="s">
        <v>1368</v>
      </c>
      <c r="AP52" s="7" t="s">
        <v>1369</v>
      </c>
      <c r="AQ52" s="7" t="s">
        <v>268</v>
      </c>
      <c r="AR52" s="7" t="s">
        <v>1370</v>
      </c>
      <c r="AS52" s="7" t="s">
        <v>1371</v>
      </c>
      <c r="AT52" s="7" t="s">
        <v>1372</v>
      </c>
      <c r="AU52" s="7" t="s">
        <v>305</v>
      </c>
      <c r="AV52" s="7" t="s">
        <v>1373</v>
      </c>
      <c r="AW52" s="7" t="s">
        <v>1374</v>
      </c>
      <c r="AX52" s="7" t="s">
        <v>1375</v>
      </c>
      <c r="AY52" s="7" t="s">
        <v>351</v>
      </c>
    </row>
    <row r="53" spans="1:51" ht="16.5" customHeight="1">
      <c r="A53" s="12">
        <v>45078.553092361108</v>
      </c>
      <c r="B53" s="7" t="s">
        <v>237</v>
      </c>
      <c r="C53" s="7">
        <v>46</v>
      </c>
      <c r="D53" s="7" t="s">
        <v>189</v>
      </c>
      <c r="E53" s="7" t="s">
        <v>190</v>
      </c>
      <c r="F53" s="7">
        <v>2018</v>
      </c>
      <c r="G53" s="7" t="s">
        <v>191</v>
      </c>
      <c r="H53" s="7" t="s">
        <v>25</v>
      </c>
      <c r="I53" s="7" t="s">
        <v>48</v>
      </c>
      <c r="J53" s="7">
        <v>54</v>
      </c>
      <c r="K53" s="7" t="s">
        <v>1376</v>
      </c>
      <c r="L53" s="7" t="s">
        <v>1377</v>
      </c>
      <c r="M53" s="7" t="s">
        <v>532</v>
      </c>
      <c r="N53" s="7" t="s">
        <v>1378</v>
      </c>
      <c r="O53" s="7" t="s">
        <v>1238</v>
      </c>
      <c r="P53" s="7" t="s">
        <v>1333</v>
      </c>
      <c r="Q53" s="7" t="s">
        <v>1379</v>
      </c>
      <c r="R53" s="7" t="s">
        <v>1380</v>
      </c>
      <c r="S53" s="7" t="s">
        <v>317</v>
      </c>
      <c r="T53" s="7" t="s">
        <v>1381</v>
      </c>
      <c r="U53" s="7" t="s">
        <v>1382</v>
      </c>
      <c r="V53" s="7" t="s">
        <v>1383</v>
      </c>
      <c r="W53" s="7" t="s">
        <v>290</v>
      </c>
      <c r="X53" s="7" t="s">
        <v>291</v>
      </c>
      <c r="Y53" s="7" t="s">
        <v>252</v>
      </c>
      <c r="Z53" s="7" t="s">
        <v>1384</v>
      </c>
      <c r="AA53" s="7" t="s">
        <v>1385</v>
      </c>
      <c r="AB53" s="7" t="s">
        <v>255</v>
      </c>
      <c r="AC53" s="7" t="s">
        <v>1386</v>
      </c>
      <c r="AD53" s="7" t="s">
        <v>257</v>
      </c>
      <c r="AE53" s="7" t="s">
        <v>1387</v>
      </c>
      <c r="AF53" s="7" t="s">
        <v>1388</v>
      </c>
      <c r="AG53" s="7" t="s">
        <v>325</v>
      </c>
      <c r="AH53" s="7" t="s">
        <v>1389</v>
      </c>
      <c r="AI53" s="7" t="s">
        <v>262</v>
      </c>
      <c r="AJ53" s="7" t="s">
        <v>262</v>
      </c>
      <c r="AK53" s="7" t="s">
        <v>432</v>
      </c>
      <c r="AL53" s="7" t="s">
        <v>264</v>
      </c>
      <c r="AM53" s="7" t="s">
        <v>385</v>
      </c>
      <c r="AP53" s="7" t="s">
        <v>325</v>
      </c>
      <c r="AQ53" s="7" t="s">
        <v>268</v>
      </c>
      <c r="AR53" s="7" t="s">
        <v>1390</v>
      </c>
      <c r="AS53" s="7" t="s">
        <v>270</v>
      </c>
      <c r="AT53" s="7" t="s">
        <v>1391</v>
      </c>
      <c r="AU53" s="7" t="s">
        <v>305</v>
      </c>
      <c r="AV53" s="7" t="s">
        <v>270</v>
      </c>
      <c r="AW53" s="7" t="s">
        <v>1392</v>
      </c>
      <c r="AX53" s="7" t="s">
        <v>325</v>
      </c>
      <c r="AY53" s="7" t="s">
        <v>351</v>
      </c>
    </row>
    <row r="54" spans="1:51" ht="13">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sheetData>
  <hyperlinks>
    <hyperlink ref="AG2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X47"/>
  <sheetViews>
    <sheetView workbookViewId="0">
      <selection activeCell="O1" sqref="O1"/>
    </sheetView>
  </sheetViews>
  <sheetFormatPr baseColWidth="10" defaultColWidth="12.6640625" defaultRowHeight="15.75" customHeight="1"/>
  <cols>
    <col min="3" max="3" width="42.83203125" customWidth="1"/>
    <col min="6" max="6" width="28.33203125" customWidth="1"/>
    <col min="9" max="9" width="7.1640625" customWidth="1"/>
    <col min="10" max="10" width="29.6640625" customWidth="1"/>
    <col min="12" max="12" width="33.1640625" customWidth="1"/>
    <col min="13" max="13" width="16" customWidth="1"/>
    <col min="15" max="15" width="24.83203125" customWidth="1"/>
    <col min="16" max="16" width="32.5" customWidth="1"/>
    <col min="17" max="17" width="105" customWidth="1"/>
    <col min="19" max="19" width="14.6640625" customWidth="1"/>
    <col min="20" max="20" width="32.83203125" customWidth="1"/>
    <col min="24" max="24" width="25.6640625" customWidth="1"/>
    <col min="25" max="25" width="22.33203125" customWidth="1"/>
    <col min="27" max="27" width="15.6640625" customWidth="1"/>
    <col min="28" max="28" width="18.6640625" customWidth="1"/>
    <col min="29" max="29" width="19.1640625" customWidth="1"/>
    <col min="30" max="30" width="17.83203125" customWidth="1"/>
  </cols>
  <sheetData>
    <row r="1" spans="1:50" ht="62.25" customHeight="1">
      <c r="A1" s="17" t="s">
        <v>193</v>
      </c>
      <c r="B1" s="17" t="s">
        <v>194</v>
      </c>
      <c r="C1" s="17" t="s">
        <v>195</v>
      </c>
      <c r="D1" s="17" t="s">
        <v>2</v>
      </c>
      <c r="E1" s="17" t="s">
        <v>3</v>
      </c>
      <c r="F1" s="17" t="s">
        <v>4</v>
      </c>
      <c r="G1" s="17" t="s">
        <v>5</v>
      </c>
      <c r="H1" s="17" t="s">
        <v>6</v>
      </c>
      <c r="I1" s="17" t="s">
        <v>7</v>
      </c>
      <c r="J1" s="17" t="s">
        <v>196</v>
      </c>
      <c r="K1" s="17" t="s">
        <v>197</v>
      </c>
      <c r="L1" s="17" t="s">
        <v>2232</v>
      </c>
      <c r="M1" s="17" t="s">
        <v>199</v>
      </c>
      <c r="N1" s="17" t="s">
        <v>200</v>
      </c>
      <c r="O1" s="17" t="s">
        <v>201</v>
      </c>
      <c r="P1" s="17" t="s">
        <v>202</v>
      </c>
      <c r="Q1" s="17" t="s">
        <v>203</v>
      </c>
      <c r="R1" s="17" t="s">
        <v>204</v>
      </c>
      <c r="S1" s="17" t="s">
        <v>205</v>
      </c>
      <c r="T1" s="17" t="s">
        <v>206</v>
      </c>
      <c r="U1" s="17" t="s">
        <v>207</v>
      </c>
      <c r="V1" s="17" t="s">
        <v>208</v>
      </c>
      <c r="W1" s="17" t="s">
        <v>209</v>
      </c>
      <c r="X1" s="17" t="s">
        <v>210</v>
      </c>
      <c r="Y1" s="17" t="s">
        <v>211</v>
      </c>
      <c r="Z1" s="17" t="s">
        <v>212</v>
      </c>
      <c r="AA1" s="17" t="s">
        <v>213</v>
      </c>
      <c r="AB1" s="17" t="s">
        <v>214</v>
      </c>
      <c r="AC1" s="17" t="s">
        <v>215</v>
      </c>
      <c r="AD1" s="17" t="s">
        <v>216</v>
      </c>
      <c r="AE1" s="17" t="s">
        <v>217</v>
      </c>
      <c r="AF1" s="17" t="s">
        <v>218</v>
      </c>
      <c r="AG1" s="17" t="s">
        <v>219</v>
      </c>
      <c r="AH1" s="17" t="s">
        <v>220</v>
      </c>
      <c r="AI1" s="17" t="s">
        <v>221</v>
      </c>
      <c r="AJ1" s="17" t="s">
        <v>222</v>
      </c>
      <c r="AK1" s="17" t="s">
        <v>223</v>
      </c>
      <c r="AL1" s="17" t="s">
        <v>224</v>
      </c>
      <c r="AM1" s="17" t="s">
        <v>225</v>
      </c>
      <c r="AN1" s="17" t="s">
        <v>226</v>
      </c>
      <c r="AO1" s="17" t="s">
        <v>227</v>
      </c>
      <c r="AP1" s="17" t="s">
        <v>228</v>
      </c>
      <c r="AQ1" s="17" t="s">
        <v>229</v>
      </c>
      <c r="AR1" s="17" t="s">
        <v>230</v>
      </c>
      <c r="AS1" s="17" t="s">
        <v>231</v>
      </c>
      <c r="AT1" s="17" t="s">
        <v>232</v>
      </c>
      <c r="AU1" s="18" t="s">
        <v>233</v>
      </c>
      <c r="AV1" s="18" t="s">
        <v>234</v>
      </c>
      <c r="AW1" s="17" t="s">
        <v>235</v>
      </c>
      <c r="AX1" s="17" t="s">
        <v>236</v>
      </c>
    </row>
    <row r="2" spans="1:50" ht="18.75" customHeight="1">
      <c r="A2" s="7" t="s">
        <v>237</v>
      </c>
      <c r="B2" s="7">
        <v>1</v>
      </c>
      <c r="C2" s="7" t="s">
        <v>9</v>
      </c>
      <c r="D2" s="7" t="s">
        <v>10</v>
      </c>
      <c r="E2" s="7">
        <v>2022</v>
      </c>
      <c r="F2" s="7" t="s">
        <v>11</v>
      </c>
      <c r="G2" s="7" t="s">
        <v>12</v>
      </c>
      <c r="H2" s="7" t="s">
        <v>13</v>
      </c>
      <c r="I2" s="7">
        <v>0</v>
      </c>
      <c r="J2" s="19" t="s">
        <v>238</v>
      </c>
      <c r="K2" s="7" t="s">
        <v>239</v>
      </c>
      <c r="L2" s="7" t="s">
        <v>240</v>
      </c>
      <c r="M2" s="7" t="s">
        <v>241</v>
      </c>
      <c r="N2" s="7" t="s">
        <v>242</v>
      </c>
      <c r="O2" s="7" t="s">
        <v>243</v>
      </c>
      <c r="P2" s="7" t="s">
        <v>244</v>
      </c>
      <c r="Q2" s="7" t="s">
        <v>245</v>
      </c>
      <c r="R2" s="7" t="s">
        <v>246</v>
      </c>
      <c r="S2" s="7" t="s">
        <v>247</v>
      </c>
      <c r="T2" s="7" t="s">
        <v>248</v>
      </c>
      <c r="U2" s="7" t="s">
        <v>249</v>
      </c>
      <c r="V2" s="7" t="s">
        <v>250</v>
      </c>
      <c r="W2" s="7" t="s">
        <v>251</v>
      </c>
      <c r="X2" s="7" t="s">
        <v>252</v>
      </c>
      <c r="Y2" s="7" t="s">
        <v>253</v>
      </c>
      <c r="Z2" s="7" t="s">
        <v>254</v>
      </c>
      <c r="AA2" s="7" t="s">
        <v>255</v>
      </c>
      <c r="AB2" s="7" t="s">
        <v>256</v>
      </c>
      <c r="AC2" s="7" t="s">
        <v>257</v>
      </c>
      <c r="AD2" s="7" t="s">
        <v>258</v>
      </c>
      <c r="AE2" s="7" t="s">
        <v>259</v>
      </c>
      <c r="AF2" s="7" t="s">
        <v>260</v>
      </c>
      <c r="AG2" s="7" t="s">
        <v>261</v>
      </c>
      <c r="AH2" s="7" t="s">
        <v>262</v>
      </c>
      <c r="AI2" s="7" t="s">
        <v>262</v>
      </c>
      <c r="AJ2" s="7" t="s">
        <v>263</v>
      </c>
      <c r="AK2" s="7" t="s">
        <v>264</v>
      </c>
      <c r="AL2" s="7" t="s">
        <v>265</v>
      </c>
      <c r="AM2" s="7" t="s">
        <v>265</v>
      </c>
      <c r="AN2" s="7" t="s">
        <v>266</v>
      </c>
      <c r="AO2" s="7" t="s">
        <v>267</v>
      </c>
      <c r="AP2" s="7" t="s">
        <v>268</v>
      </c>
      <c r="AQ2" s="7" t="s">
        <v>269</v>
      </c>
      <c r="AR2" s="7" t="s">
        <v>270</v>
      </c>
      <c r="AS2" s="7" t="s">
        <v>271</v>
      </c>
      <c r="AT2" s="7" t="s">
        <v>272</v>
      </c>
      <c r="AU2" s="20" t="s">
        <v>273</v>
      </c>
      <c r="AV2" s="20" t="s">
        <v>274</v>
      </c>
      <c r="AW2" s="7" t="s">
        <v>275</v>
      </c>
      <c r="AX2" s="7" t="s">
        <v>268</v>
      </c>
    </row>
    <row r="3" spans="1:50" ht="13">
      <c r="A3" s="7" t="s">
        <v>237</v>
      </c>
      <c r="B3" s="7">
        <v>2</v>
      </c>
      <c r="C3" s="7" t="s">
        <v>15</v>
      </c>
      <c r="D3" s="7" t="s">
        <v>16</v>
      </c>
      <c r="E3" s="7">
        <v>2022</v>
      </c>
      <c r="F3" s="7" t="s">
        <v>11</v>
      </c>
      <c r="G3" s="7" t="s">
        <v>12</v>
      </c>
      <c r="H3" s="7" t="s">
        <v>13</v>
      </c>
      <c r="I3" s="7">
        <v>1</v>
      </c>
      <c r="J3" s="7" t="s">
        <v>309</v>
      </c>
      <c r="K3" s="7" t="s">
        <v>310</v>
      </c>
      <c r="L3" s="7" t="s">
        <v>311</v>
      </c>
      <c r="M3" s="7" t="s">
        <v>312</v>
      </c>
      <c r="N3" s="7" t="s">
        <v>313</v>
      </c>
      <c r="O3" s="7" t="s">
        <v>1393</v>
      </c>
      <c r="P3" s="7" t="s">
        <v>315</v>
      </c>
      <c r="Q3" s="7" t="s">
        <v>316</v>
      </c>
      <c r="R3" s="7" t="s">
        <v>317</v>
      </c>
      <c r="S3" s="7" t="s">
        <v>318</v>
      </c>
      <c r="T3" s="7" t="s">
        <v>319</v>
      </c>
      <c r="U3" s="7" t="s">
        <v>320</v>
      </c>
      <c r="V3" s="7" t="s">
        <v>250</v>
      </c>
      <c r="W3" s="7" t="s">
        <v>251</v>
      </c>
      <c r="X3" s="7" t="s">
        <v>321</v>
      </c>
      <c r="Y3" s="7" t="s">
        <v>322</v>
      </c>
      <c r="Z3" s="7" t="s">
        <v>293</v>
      </c>
      <c r="AA3" s="7" t="s">
        <v>255</v>
      </c>
      <c r="AB3" s="7" t="s">
        <v>323</v>
      </c>
      <c r="AC3" s="7" t="s">
        <v>257</v>
      </c>
      <c r="AD3" s="7" t="s">
        <v>324</v>
      </c>
      <c r="AE3" s="7" t="s">
        <v>268</v>
      </c>
      <c r="AF3" s="7" t="s">
        <v>325</v>
      </c>
      <c r="AG3" s="7" t="s">
        <v>326</v>
      </c>
      <c r="AH3" s="7" t="s">
        <v>327</v>
      </c>
      <c r="AI3" s="7" t="s">
        <v>265</v>
      </c>
      <c r="AJ3" s="7" t="s">
        <v>328</v>
      </c>
      <c r="AK3" s="7" t="s">
        <v>264</v>
      </c>
      <c r="AL3" s="7" t="s">
        <v>265</v>
      </c>
      <c r="AM3" s="7" t="s">
        <v>265</v>
      </c>
      <c r="AN3" s="7" t="s">
        <v>329</v>
      </c>
      <c r="AO3" s="7" t="s">
        <v>330</v>
      </c>
      <c r="AP3" s="7" t="s">
        <v>268</v>
      </c>
      <c r="AQ3" s="7" t="s">
        <v>1394</v>
      </c>
      <c r="AR3" s="7" t="s">
        <v>332</v>
      </c>
      <c r="AS3" s="7" t="s">
        <v>333</v>
      </c>
      <c r="AT3" s="7" t="s">
        <v>272</v>
      </c>
      <c r="AU3" s="20" t="s">
        <v>334</v>
      </c>
      <c r="AV3" s="20" t="s">
        <v>335</v>
      </c>
      <c r="AW3" s="7" t="s">
        <v>336</v>
      </c>
      <c r="AX3" s="7" t="s">
        <v>268</v>
      </c>
    </row>
    <row r="4" spans="1:50" ht="16.5" customHeight="1">
      <c r="A4" s="7" t="s">
        <v>237</v>
      </c>
      <c r="B4" s="7">
        <v>3</v>
      </c>
      <c r="C4" s="7" t="s">
        <v>18</v>
      </c>
      <c r="D4" s="7" t="s">
        <v>19</v>
      </c>
      <c r="E4" s="7">
        <v>2021</v>
      </c>
      <c r="F4" s="7" t="s">
        <v>11</v>
      </c>
      <c r="G4" s="7" t="s">
        <v>12</v>
      </c>
      <c r="H4" s="7" t="s">
        <v>20</v>
      </c>
      <c r="I4" s="7">
        <v>4</v>
      </c>
      <c r="J4" s="7" t="s">
        <v>364</v>
      </c>
      <c r="K4" s="7" t="s">
        <v>365</v>
      </c>
      <c r="L4" s="7" t="s">
        <v>366</v>
      </c>
      <c r="M4" s="7" t="s">
        <v>367</v>
      </c>
      <c r="N4" s="7" t="s">
        <v>368</v>
      </c>
      <c r="O4" s="7" t="s">
        <v>369</v>
      </c>
      <c r="P4" s="7" t="s">
        <v>370</v>
      </c>
      <c r="Q4" s="7" t="s">
        <v>371</v>
      </c>
      <c r="R4" s="7" t="s">
        <v>246</v>
      </c>
      <c r="S4" s="7" t="s">
        <v>372</v>
      </c>
      <c r="T4" s="7" t="s">
        <v>373</v>
      </c>
      <c r="U4" s="7" t="s">
        <v>374</v>
      </c>
      <c r="V4" s="7" t="s">
        <v>375</v>
      </c>
      <c r="W4" s="7" t="s">
        <v>376</v>
      </c>
      <c r="X4" s="7" t="s">
        <v>377</v>
      </c>
      <c r="Y4" s="7" t="s">
        <v>378</v>
      </c>
      <c r="Z4" s="7" t="s">
        <v>378</v>
      </c>
      <c r="AA4" s="7" t="s">
        <v>379</v>
      </c>
      <c r="AB4" s="7" t="s">
        <v>380</v>
      </c>
      <c r="AC4" s="7" t="s">
        <v>257</v>
      </c>
      <c r="AD4" s="7" t="s">
        <v>381</v>
      </c>
      <c r="AE4" s="7" t="s">
        <v>351</v>
      </c>
      <c r="AF4" s="7"/>
      <c r="AG4" s="7" t="s">
        <v>382</v>
      </c>
      <c r="AH4" s="7" t="s">
        <v>383</v>
      </c>
      <c r="AI4" s="7" t="s">
        <v>265</v>
      </c>
      <c r="AJ4" s="7" t="s">
        <v>384</v>
      </c>
      <c r="AK4" s="7" t="s">
        <v>264</v>
      </c>
      <c r="AL4" s="7" t="s">
        <v>385</v>
      </c>
      <c r="AM4" s="7"/>
      <c r="AN4" s="7"/>
      <c r="AO4" s="7" t="s">
        <v>386</v>
      </c>
      <c r="AP4" s="7" t="s">
        <v>268</v>
      </c>
      <c r="AQ4" s="7" t="s">
        <v>387</v>
      </c>
      <c r="AR4" s="7"/>
      <c r="AS4" s="7" t="s">
        <v>388</v>
      </c>
      <c r="AT4" s="7" t="s">
        <v>272</v>
      </c>
      <c r="AU4" s="20" t="s">
        <v>270</v>
      </c>
      <c r="AV4" s="20" t="s">
        <v>389</v>
      </c>
      <c r="AW4" s="7" t="s">
        <v>390</v>
      </c>
      <c r="AX4" s="7" t="s">
        <v>268</v>
      </c>
    </row>
    <row r="5" spans="1:50" ht="16.5" customHeight="1">
      <c r="A5" s="7" t="s">
        <v>237</v>
      </c>
      <c r="B5" s="7">
        <v>4</v>
      </c>
      <c r="C5" s="7" t="s">
        <v>22</v>
      </c>
      <c r="D5" s="7" t="s">
        <v>23</v>
      </c>
      <c r="E5" s="7">
        <v>2022</v>
      </c>
      <c r="F5" s="7" t="s">
        <v>24</v>
      </c>
      <c r="G5" s="7" t="s">
        <v>25</v>
      </c>
      <c r="H5" s="7" t="s">
        <v>13</v>
      </c>
      <c r="I5" s="7">
        <v>0</v>
      </c>
      <c r="J5" s="7" t="s">
        <v>416</v>
      </c>
      <c r="K5" s="7" t="s">
        <v>417</v>
      </c>
      <c r="L5" s="7" t="s">
        <v>418</v>
      </c>
      <c r="M5" s="7" t="s">
        <v>312</v>
      </c>
      <c r="N5" s="7" t="s">
        <v>419</v>
      </c>
      <c r="O5" s="7" t="s">
        <v>420</v>
      </c>
      <c r="P5" s="7" t="s">
        <v>421</v>
      </c>
      <c r="Q5" s="7" t="s">
        <v>422</v>
      </c>
      <c r="R5" s="7" t="s">
        <v>246</v>
      </c>
      <c r="S5" s="7" t="s">
        <v>423</v>
      </c>
      <c r="T5" s="7" t="s">
        <v>424</v>
      </c>
      <c r="U5" s="7" t="s">
        <v>425</v>
      </c>
      <c r="V5" s="7" t="s">
        <v>250</v>
      </c>
      <c r="W5" s="7" t="s">
        <v>251</v>
      </c>
      <c r="X5" s="7" t="s">
        <v>252</v>
      </c>
      <c r="Y5" s="7" t="s">
        <v>426</v>
      </c>
      <c r="Z5" s="7" t="s">
        <v>427</v>
      </c>
      <c r="AA5" s="7" t="s">
        <v>255</v>
      </c>
      <c r="AB5" s="7" t="s">
        <v>428</v>
      </c>
      <c r="AC5" s="7" t="s">
        <v>257</v>
      </c>
      <c r="AD5" s="7" t="s">
        <v>429</v>
      </c>
      <c r="AE5" s="7" t="s">
        <v>268</v>
      </c>
      <c r="AF5" s="7" t="s">
        <v>430</v>
      </c>
      <c r="AG5" s="7" t="s">
        <v>431</v>
      </c>
      <c r="AH5" s="7" t="s">
        <v>262</v>
      </c>
      <c r="AI5" s="7" t="s">
        <v>262</v>
      </c>
      <c r="AJ5" s="7" t="s">
        <v>432</v>
      </c>
      <c r="AK5" s="7" t="s">
        <v>264</v>
      </c>
      <c r="AL5" s="7" t="s">
        <v>433</v>
      </c>
      <c r="AM5" s="7" t="s">
        <v>262</v>
      </c>
      <c r="AN5" s="7" t="s">
        <v>386</v>
      </c>
      <c r="AO5" s="7" t="s">
        <v>386</v>
      </c>
      <c r="AP5" s="7" t="s">
        <v>268</v>
      </c>
      <c r="AQ5" s="7" t="s">
        <v>434</v>
      </c>
      <c r="AR5" s="7" t="s">
        <v>435</v>
      </c>
      <c r="AS5" s="7" t="s">
        <v>436</v>
      </c>
      <c r="AT5" s="7" t="s">
        <v>272</v>
      </c>
      <c r="AU5" s="20" t="s">
        <v>437</v>
      </c>
      <c r="AV5" s="20" t="s">
        <v>438</v>
      </c>
      <c r="AW5" s="7" t="s">
        <v>439</v>
      </c>
      <c r="AX5" s="7" t="s">
        <v>415</v>
      </c>
    </row>
    <row r="6" spans="1:50" ht="14">
      <c r="A6" s="7" t="s">
        <v>237</v>
      </c>
      <c r="B6" s="7">
        <v>5</v>
      </c>
      <c r="C6" s="7" t="s">
        <v>27</v>
      </c>
      <c r="D6" s="7" t="s">
        <v>28</v>
      </c>
      <c r="E6" s="7">
        <v>2019</v>
      </c>
      <c r="F6" s="7" t="s">
        <v>24</v>
      </c>
      <c r="G6" s="7" t="s">
        <v>25</v>
      </c>
      <c r="H6" s="7" t="s">
        <v>20</v>
      </c>
      <c r="I6" s="7">
        <v>10</v>
      </c>
      <c r="J6" s="7" t="s">
        <v>440</v>
      </c>
      <c r="K6" s="7" t="s">
        <v>441</v>
      </c>
      <c r="L6" s="7" t="s">
        <v>442</v>
      </c>
      <c r="M6" s="7" t="s">
        <v>443</v>
      </c>
      <c r="N6" s="7" t="s">
        <v>444</v>
      </c>
      <c r="O6" s="7" t="s">
        <v>445</v>
      </c>
      <c r="P6" s="7" t="s">
        <v>446</v>
      </c>
      <c r="Q6" s="7" t="s">
        <v>447</v>
      </c>
      <c r="R6" s="7" t="s">
        <v>317</v>
      </c>
      <c r="S6" s="7" t="s">
        <v>448</v>
      </c>
      <c r="T6" s="7" t="s">
        <v>449</v>
      </c>
      <c r="U6" s="7" t="s">
        <v>450</v>
      </c>
      <c r="V6" s="7" t="s">
        <v>290</v>
      </c>
      <c r="W6" s="7" t="s">
        <v>291</v>
      </c>
      <c r="X6" s="7" t="s">
        <v>321</v>
      </c>
      <c r="Y6" s="19" t="s">
        <v>451</v>
      </c>
      <c r="Z6" s="7" t="s">
        <v>452</v>
      </c>
      <c r="AA6" s="7" t="s">
        <v>255</v>
      </c>
      <c r="AB6" s="7" t="s">
        <v>453</v>
      </c>
      <c r="AC6" s="7" t="s">
        <v>257</v>
      </c>
      <c r="AD6" s="7" t="s">
        <v>454</v>
      </c>
      <c r="AE6" s="7" t="s">
        <v>259</v>
      </c>
      <c r="AF6" s="7" t="s">
        <v>455</v>
      </c>
      <c r="AG6" s="7" t="s">
        <v>456</v>
      </c>
      <c r="AH6" s="7" t="s">
        <v>262</v>
      </c>
      <c r="AI6" s="7" t="s">
        <v>262</v>
      </c>
      <c r="AJ6" s="7" t="s">
        <v>457</v>
      </c>
      <c r="AK6" s="7" t="s">
        <v>264</v>
      </c>
      <c r="AL6" s="7" t="s">
        <v>385</v>
      </c>
      <c r="AM6" s="7"/>
      <c r="AN6" s="7"/>
      <c r="AO6" s="7" t="s">
        <v>458</v>
      </c>
      <c r="AP6" s="7" t="s">
        <v>409</v>
      </c>
      <c r="AQ6" s="7"/>
      <c r="AR6" s="7"/>
      <c r="AS6" s="7" t="s">
        <v>459</v>
      </c>
      <c r="AT6" s="7" t="s">
        <v>305</v>
      </c>
      <c r="AU6" s="20" t="s">
        <v>270</v>
      </c>
      <c r="AV6" s="20" t="s">
        <v>460</v>
      </c>
      <c r="AW6" s="7" t="s">
        <v>270</v>
      </c>
      <c r="AX6" s="7" t="s">
        <v>268</v>
      </c>
    </row>
    <row r="7" spans="1:50" ht="15.75" customHeight="1">
      <c r="A7" s="7" t="s">
        <v>237</v>
      </c>
      <c r="B7" s="7">
        <v>6</v>
      </c>
      <c r="C7" s="7" t="s">
        <v>30</v>
      </c>
      <c r="D7" s="7" t="s">
        <v>31</v>
      </c>
      <c r="E7" s="7">
        <v>2021</v>
      </c>
      <c r="F7" s="7" t="s">
        <v>24</v>
      </c>
      <c r="G7" s="7" t="s">
        <v>25</v>
      </c>
      <c r="H7" s="7" t="s">
        <v>20</v>
      </c>
      <c r="I7" s="7">
        <v>2</v>
      </c>
      <c r="J7" s="7" t="s">
        <v>484</v>
      </c>
      <c r="K7" s="7" t="s">
        <v>485</v>
      </c>
      <c r="L7" s="7" t="s">
        <v>486</v>
      </c>
      <c r="M7" s="7" t="s">
        <v>487</v>
      </c>
      <c r="N7" s="7" t="s">
        <v>313</v>
      </c>
      <c r="O7" s="7" t="s">
        <v>488</v>
      </c>
      <c r="P7" s="7" t="s">
        <v>489</v>
      </c>
      <c r="Q7" s="7" t="s">
        <v>490</v>
      </c>
      <c r="R7" s="7" t="s">
        <v>317</v>
      </c>
      <c r="S7" s="7" t="s">
        <v>491</v>
      </c>
      <c r="T7" s="7" t="s">
        <v>492</v>
      </c>
      <c r="U7" s="7" t="s">
        <v>493</v>
      </c>
      <c r="V7" s="7" t="s">
        <v>290</v>
      </c>
      <c r="W7" s="7" t="s">
        <v>494</v>
      </c>
      <c r="X7" s="7" t="s">
        <v>321</v>
      </c>
      <c r="Y7" s="19" t="s">
        <v>495</v>
      </c>
      <c r="Z7" s="7" t="s">
        <v>496</v>
      </c>
      <c r="AA7" s="7" t="s">
        <v>255</v>
      </c>
      <c r="AB7" s="7" t="s">
        <v>497</v>
      </c>
      <c r="AC7" s="7" t="s">
        <v>257</v>
      </c>
      <c r="AD7" s="7" t="s">
        <v>498</v>
      </c>
      <c r="AE7" s="7" t="s">
        <v>259</v>
      </c>
      <c r="AF7" s="7" t="s">
        <v>499</v>
      </c>
      <c r="AG7" s="7" t="s">
        <v>500</v>
      </c>
      <c r="AH7" s="7" t="s">
        <v>262</v>
      </c>
      <c r="AI7" s="7" t="s">
        <v>262</v>
      </c>
      <c r="AJ7" s="7" t="s">
        <v>457</v>
      </c>
      <c r="AK7" s="7"/>
      <c r="AL7" s="7" t="s">
        <v>385</v>
      </c>
      <c r="AM7" s="7"/>
      <c r="AN7" s="7"/>
      <c r="AO7" s="7" t="s">
        <v>501</v>
      </c>
      <c r="AP7" s="7" t="s">
        <v>409</v>
      </c>
      <c r="AQ7" s="7"/>
      <c r="AR7" s="7"/>
      <c r="AS7" s="7" t="s">
        <v>502</v>
      </c>
      <c r="AT7" s="7" t="s">
        <v>305</v>
      </c>
      <c r="AU7" s="20" t="s">
        <v>503</v>
      </c>
      <c r="AV7" s="20" t="s">
        <v>504</v>
      </c>
      <c r="AW7" s="7" t="s">
        <v>505</v>
      </c>
      <c r="AX7" s="7" t="s">
        <v>268</v>
      </c>
    </row>
    <row r="8" spans="1:50" ht="16.5" customHeight="1">
      <c r="A8" s="7" t="s">
        <v>237</v>
      </c>
      <c r="B8" s="7">
        <v>7</v>
      </c>
      <c r="C8" s="7" t="s">
        <v>33</v>
      </c>
      <c r="D8" s="7" t="s">
        <v>34</v>
      </c>
      <c r="E8" s="7">
        <v>2020</v>
      </c>
      <c r="F8" s="7" t="s">
        <v>35</v>
      </c>
      <c r="G8" s="7" t="s">
        <v>12</v>
      </c>
      <c r="H8" s="7" t="s">
        <v>20</v>
      </c>
      <c r="I8" s="7">
        <v>1</v>
      </c>
      <c r="J8" s="7" t="s">
        <v>530</v>
      </c>
      <c r="K8" s="7" t="s">
        <v>531</v>
      </c>
      <c r="L8" s="7" t="s">
        <v>532</v>
      </c>
      <c r="M8" s="7" t="s">
        <v>312</v>
      </c>
      <c r="N8" s="7" t="s">
        <v>419</v>
      </c>
      <c r="O8" s="7" t="s">
        <v>533</v>
      </c>
      <c r="P8" s="7" t="s">
        <v>534</v>
      </c>
      <c r="Q8" s="7" t="s">
        <v>535</v>
      </c>
      <c r="R8" s="7" t="s">
        <v>317</v>
      </c>
      <c r="S8" s="7" t="s">
        <v>536</v>
      </c>
      <c r="T8" s="7" t="s">
        <v>537</v>
      </c>
      <c r="U8" s="7" t="s">
        <v>538</v>
      </c>
      <c r="V8" s="7" t="s">
        <v>290</v>
      </c>
      <c r="W8" s="7" t="s">
        <v>291</v>
      </c>
      <c r="X8" s="7" t="s">
        <v>252</v>
      </c>
      <c r="Y8" s="7" t="s">
        <v>539</v>
      </c>
      <c r="Z8" s="7" t="s">
        <v>540</v>
      </c>
      <c r="AA8" s="7" t="s">
        <v>255</v>
      </c>
      <c r="AB8" s="7" t="s">
        <v>541</v>
      </c>
      <c r="AC8" s="7" t="s">
        <v>257</v>
      </c>
      <c r="AD8" s="7" t="s">
        <v>542</v>
      </c>
      <c r="AE8" s="7" t="s">
        <v>268</v>
      </c>
      <c r="AF8" s="7" t="s">
        <v>543</v>
      </c>
      <c r="AG8" s="7" t="s">
        <v>544</v>
      </c>
      <c r="AH8" s="7" t="s">
        <v>545</v>
      </c>
      <c r="AI8" s="7" t="s">
        <v>262</v>
      </c>
      <c r="AJ8" s="7" t="s">
        <v>432</v>
      </c>
      <c r="AK8" s="7" t="s">
        <v>264</v>
      </c>
      <c r="AL8" s="7" t="s">
        <v>262</v>
      </c>
      <c r="AM8" s="7"/>
      <c r="AN8" s="7" t="s">
        <v>546</v>
      </c>
      <c r="AO8" s="7" t="s">
        <v>547</v>
      </c>
      <c r="AP8" s="7" t="s">
        <v>268</v>
      </c>
      <c r="AQ8" s="7" t="s">
        <v>548</v>
      </c>
      <c r="AR8" s="7" t="s">
        <v>270</v>
      </c>
      <c r="AS8" s="7" t="s">
        <v>549</v>
      </c>
      <c r="AT8" s="7" t="s">
        <v>305</v>
      </c>
      <c r="AU8" s="20" t="s">
        <v>270</v>
      </c>
      <c r="AV8" s="20" t="s">
        <v>550</v>
      </c>
      <c r="AW8" s="7" t="s">
        <v>551</v>
      </c>
      <c r="AX8" s="7" t="s">
        <v>351</v>
      </c>
    </row>
    <row r="9" spans="1:50" ht="15.75" customHeight="1">
      <c r="A9" s="7" t="s">
        <v>237</v>
      </c>
      <c r="B9" s="7">
        <v>8</v>
      </c>
      <c r="C9" s="7" t="s">
        <v>37</v>
      </c>
      <c r="D9" s="7" t="s">
        <v>38</v>
      </c>
      <c r="E9" s="7">
        <v>2019</v>
      </c>
      <c r="F9" s="7" t="s">
        <v>11</v>
      </c>
      <c r="G9" s="7" t="s">
        <v>12</v>
      </c>
      <c r="H9" s="7" t="s">
        <v>20</v>
      </c>
      <c r="I9" s="7">
        <v>21</v>
      </c>
      <c r="J9" s="7" t="s">
        <v>552</v>
      </c>
      <c r="K9" s="7" t="s">
        <v>553</v>
      </c>
      <c r="L9" s="7" t="s">
        <v>554</v>
      </c>
      <c r="M9" s="7" t="s">
        <v>555</v>
      </c>
      <c r="N9" s="7" t="s">
        <v>556</v>
      </c>
      <c r="O9" s="7" t="s">
        <v>557</v>
      </c>
      <c r="P9" s="7" t="s">
        <v>558</v>
      </c>
      <c r="Q9" s="7" t="s">
        <v>559</v>
      </c>
      <c r="R9" s="7" t="s">
        <v>317</v>
      </c>
      <c r="S9" s="7" t="s">
        <v>560</v>
      </c>
      <c r="T9" s="7" t="s">
        <v>561</v>
      </c>
      <c r="U9" s="7" t="s">
        <v>562</v>
      </c>
      <c r="V9" s="7" t="s">
        <v>290</v>
      </c>
      <c r="W9" s="7" t="s">
        <v>291</v>
      </c>
      <c r="X9" s="7" t="s">
        <v>321</v>
      </c>
      <c r="Y9" s="7" t="s">
        <v>563</v>
      </c>
      <c r="Z9" s="7" t="s">
        <v>564</v>
      </c>
      <c r="AA9" s="7" t="s">
        <v>255</v>
      </c>
      <c r="AB9" s="7" t="s">
        <v>565</v>
      </c>
      <c r="AC9" s="7" t="s">
        <v>257</v>
      </c>
      <c r="AD9" s="7" t="s">
        <v>566</v>
      </c>
      <c r="AE9" s="7" t="s">
        <v>268</v>
      </c>
      <c r="AF9" s="7" t="s">
        <v>567</v>
      </c>
      <c r="AG9" s="7" t="s">
        <v>568</v>
      </c>
      <c r="AH9" s="7" t="s">
        <v>262</v>
      </c>
      <c r="AI9" s="7" t="s">
        <v>262</v>
      </c>
      <c r="AJ9" s="7" t="s">
        <v>457</v>
      </c>
      <c r="AK9" s="7"/>
      <c r="AL9" s="7" t="s">
        <v>265</v>
      </c>
      <c r="AM9" s="7" t="s">
        <v>265</v>
      </c>
      <c r="AN9" s="7" t="s">
        <v>457</v>
      </c>
      <c r="AO9" s="7" t="s">
        <v>569</v>
      </c>
      <c r="AP9" s="7" t="s">
        <v>409</v>
      </c>
      <c r="AQ9" s="7"/>
      <c r="AR9" s="7"/>
      <c r="AS9" s="7" t="s">
        <v>570</v>
      </c>
      <c r="AT9" s="7" t="s">
        <v>305</v>
      </c>
      <c r="AU9" s="20" t="s">
        <v>270</v>
      </c>
      <c r="AV9" s="20" t="s">
        <v>571</v>
      </c>
      <c r="AW9" s="7" t="s">
        <v>572</v>
      </c>
      <c r="AX9" s="7" t="s">
        <v>268</v>
      </c>
    </row>
    <row r="10" spans="1:50" ht="15.75" customHeight="1">
      <c r="A10" s="7" t="s">
        <v>237</v>
      </c>
      <c r="B10" s="7">
        <v>9</v>
      </c>
      <c r="C10" s="7" t="s">
        <v>40</v>
      </c>
      <c r="D10" s="7" t="s">
        <v>41</v>
      </c>
      <c r="E10" s="7">
        <v>2022</v>
      </c>
      <c r="F10" s="7" t="s">
        <v>42</v>
      </c>
      <c r="G10" s="7" t="s">
        <v>12</v>
      </c>
      <c r="H10" s="7" t="s">
        <v>20</v>
      </c>
      <c r="I10" s="7">
        <v>2</v>
      </c>
      <c r="J10" s="7" t="s">
        <v>596</v>
      </c>
      <c r="K10" s="7" t="s">
        <v>597</v>
      </c>
      <c r="L10" s="7" t="s">
        <v>366</v>
      </c>
      <c r="M10" s="7" t="s">
        <v>598</v>
      </c>
      <c r="N10" s="7" t="s">
        <v>599</v>
      </c>
      <c r="O10" s="7" t="s">
        <v>600</v>
      </c>
      <c r="P10" s="7" t="s">
        <v>601</v>
      </c>
      <c r="Q10" s="7" t="s">
        <v>602</v>
      </c>
      <c r="R10" s="7" t="s">
        <v>317</v>
      </c>
      <c r="S10" s="7" t="s">
        <v>603</v>
      </c>
      <c r="T10" s="7" t="s">
        <v>604</v>
      </c>
      <c r="U10" s="7" t="s">
        <v>605</v>
      </c>
      <c r="V10" s="7" t="s">
        <v>290</v>
      </c>
      <c r="W10" s="7" t="s">
        <v>291</v>
      </c>
      <c r="X10" s="7" t="s">
        <v>252</v>
      </c>
      <c r="Y10" s="7" t="s">
        <v>606</v>
      </c>
      <c r="Z10" s="7" t="s">
        <v>607</v>
      </c>
      <c r="AA10" s="7" t="s">
        <v>255</v>
      </c>
      <c r="AB10" s="7" t="s">
        <v>608</v>
      </c>
      <c r="AC10" s="7" t="s">
        <v>257</v>
      </c>
      <c r="AD10" s="7" t="s">
        <v>542</v>
      </c>
      <c r="AE10" s="7" t="s">
        <v>268</v>
      </c>
      <c r="AF10" s="7" t="s">
        <v>1395</v>
      </c>
      <c r="AG10" s="7" t="s">
        <v>601</v>
      </c>
      <c r="AH10" s="7" t="s">
        <v>262</v>
      </c>
      <c r="AI10" s="7" t="s">
        <v>262</v>
      </c>
      <c r="AJ10" s="7" t="s">
        <v>328</v>
      </c>
      <c r="AK10" s="7" t="s">
        <v>264</v>
      </c>
      <c r="AL10" s="7" t="s">
        <v>385</v>
      </c>
      <c r="AM10" s="7"/>
      <c r="AN10" s="7" t="s">
        <v>610</v>
      </c>
      <c r="AO10" s="7" t="s">
        <v>611</v>
      </c>
      <c r="AP10" s="7" t="s">
        <v>268</v>
      </c>
      <c r="AQ10" s="7" t="s">
        <v>612</v>
      </c>
      <c r="AR10" s="7" t="s">
        <v>270</v>
      </c>
      <c r="AS10" s="7" t="s">
        <v>613</v>
      </c>
      <c r="AT10" s="7" t="s">
        <v>265</v>
      </c>
      <c r="AU10" s="20" t="s">
        <v>614</v>
      </c>
      <c r="AV10" s="20" t="s">
        <v>615</v>
      </c>
      <c r="AW10" s="7" t="s">
        <v>616</v>
      </c>
      <c r="AX10" s="7" t="s">
        <v>268</v>
      </c>
    </row>
    <row r="11" spans="1:50" ht="17.25" customHeight="1">
      <c r="A11" s="7" t="s">
        <v>237</v>
      </c>
      <c r="B11" s="7">
        <v>10</v>
      </c>
      <c r="C11" s="7" t="s">
        <v>44</v>
      </c>
      <c r="D11" s="7" t="s">
        <v>45</v>
      </c>
      <c r="E11" s="7">
        <v>2023</v>
      </c>
      <c r="F11" s="7" t="s">
        <v>46</v>
      </c>
      <c r="G11" s="7" t="s">
        <v>47</v>
      </c>
      <c r="H11" s="7" t="s">
        <v>48</v>
      </c>
      <c r="I11" s="7">
        <v>1</v>
      </c>
      <c r="J11" s="7" t="s">
        <v>617</v>
      </c>
      <c r="K11" s="7" t="s">
        <v>618</v>
      </c>
      <c r="L11" s="7" t="s">
        <v>366</v>
      </c>
      <c r="M11" s="7" t="s">
        <v>619</v>
      </c>
      <c r="N11" s="7" t="s">
        <v>313</v>
      </c>
      <c r="O11" s="7" t="s">
        <v>620</v>
      </c>
      <c r="P11" s="7" t="s">
        <v>621</v>
      </c>
      <c r="Q11" s="7" t="s">
        <v>622</v>
      </c>
      <c r="R11" s="7" t="s">
        <v>317</v>
      </c>
      <c r="S11" s="7" t="s">
        <v>623</v>
      </c>
      <c r="T11" s="7" t="s">
        <v>624</v>
      </c>
      <c r="U11" s="7" t="s">
        <v>625</v>
      </c>
      <c r="V11" s="7" t="s">
        <v>290</v>
      </c>
      <c r="W11" s="7" t="s">
        <v>494</v>
      </c>
      <c r="X11" s="7" t="s">
        <v>321</v>
      </c>
      <c r="Y11" s="7" t="s">
        <v>626</v>
      </c>
      <c r="Z11" s="7" t="s">
        <v>627</v>
      </c>
      <c r="AA11" s="7" t="s">
        <v>255</v>
      </c>
      <c r="AB11" s="7" t="s">
        <v>628</v>
      </c>
      <c r="AC11" s="7" t="s">
        <v>257</v>
      </c>
      <c r="AD11" s="7" t="s">
        <v>629</v>
      </c>
      <c r="AE11" s="7" t="s">
        <v>630</v>
      </c>
      <c r="AF11" s="7" t="s">
        <v>386</v>
      </c>
      <c r="AG11" s="7" t="s">
        <v>631</v>
      </c>
      <c r="AH11" s="7" t="s">
        <v>632</v>
      </c>
      <c r="AI11" s="7" t="s">
        <v>265</v>
      </c>
      <c r="AJ11" s="7" t="s">
        <v>633</v>
      </c>
      <c r="AK11" s="7" t="s">
        <v>264</v>
      </c>
      <c r="AL11" s="7" t="s">
        <v>265</v>
      </c>
      <c r="AM11" s="7" t="s">
        <v>265</v>
      </c>
      <c r="AN11" s="7" t="s">
        <v>634</v>
      </c>
      <c r="AO11" s="7" t="s">
        <v>635</v>
      </c>
      <c r="AP11" s="7" t="s">
        <v>268</v>
      </c>
      <c r="AQ11" s="7" t="s">
        <v>386</v>
      </c>
      <c r="AR11" s="7" t="s">
        <v>636</v>
      </c>
      <c r="AS11" s="7" t="s">
        <v>637</v>
      </c>
      <c r="AT11" s="7" t="s">
        <v>305</v>
      </c>
      <c r="AU11" s="20" t="s">
        <v>638</v>
      </c>
      <c r="AV11" s="20"/>
      <c r="AW11" s="7" t="s">
        <v>639</v>
      </c>
      <c r="AX11" s="7" t="s">
        <v>268</v>
      </c>
    </row>
    <row r="12" spans="1:50" ht="16.5" customHeight="1">
      <c r="A12" s="7" t="s">
        <v>237</v>
      </c>
      <c r="B12" s="7">
        <v>11</v>
      </c>
      <c r="C12" s="7" t="s">
        <v>50</v>
      </c>
      <c r="D12" s="7" t="s">
        <v>51</v>
      </c>
      <c r="E12" s="7">
        <v>2021</v>
      </c>
      <c r="F12" s="7" t="s">
        <v>52</v>
      </c>
      <c r="G12" s="7" t="s">
        <v>12</v>
      </c>
      <c r="H12" s="7" t="s">
        <v>13</v>
      </c>
      <c r="I12" s="7">
        <v>10</v>
      </c>
      <c r="J12" s="7" t="s">
        <v>640</v>
      </c>
      <c r="K12" s="7" t="s">
        <v>641</v>
      </c>
      <c r="L12" s="7" t="s">
        <v>642</v>
      </c>
      <c r="M12" s="7" t="s">
        <v>643</v>
      </c>
      <c r="N12" s="7" t="s">
        <v>644</v>
      </c>
      <c r="O12" s="7" t="s">
        <v>645</v>
      </c>
      <c r="P12" s="7" t="s">
        <v>646</v>
      </c>
      <c r="Q12" s="7" t="s">
        <v>647</v>
      </c>
      <c r="R12" s="7" t="s">
        <v>317</v>
      </c>
      <c r="S12" s="7" t="s">
        <v>448</v>
      </c>
      <c r="T12" s="7" t="s">
        <v>648</v>
      </c>
      <c r="U12" s="7" t="s">
        <v>649</v>
      </c>
      <c r="V12" s="7" t="s">
        <v>514</v>
      </c>
      <c r="W12" s="7" t="s">
        <v>515</v>
      </c>
      <c r="X12" s="7" t="s">
        <v>321</v>
      </c>
      <c r="Y12" s="7" t="s">
        <v>650</v>
      </c>
      <c r="Z12" s="7" t="s">
        <v>564</v>
      </c>
      <c r="AA12" s="7" t="s">
        <v>379</v>
      </c>
      <c r="AB12" s="7" t="s">
        <v>651</v>
      </c>
      <c r="AC12" s="7" t="s">
        <v>257</v>
      </c>
      <c r="AD12" s="7" t="s">
        <v>652</v>
      </c>
      <c r="AE12" s="7" t="s">
        <v>259</v>
      </c>
      <c r="AF12" s="7" t="s">
        <v>653</v>
      </c>
      <c r="AG12" s="7" t="s">
        <v>654</v>
      </c>
      <c r="AH12" s="7" t="s">
        <v>262</v>
      </c>
      <c r="AI12" s="7" t="s">
        <v>262</v>
      </c>
      <c r="AJ12" s="7" t="s">
        <v>328</v>
      </c>
      <c r="AK12" s="7" t="s">
        <v>264</v>
      </c>
      <c r="AL12" s="7" t="s">
        <v>385</v>
      </c>
      <c r="AM12" s="7" t="s">
        <v>265</v>
      </c>
      <c r="AN12" s="7" t="s">
        <v>655</v>
      </c>
      <c r="AO12" s="7" t="s">
        <v>656</v>
      </c>
      <c r="AP12" s="7" t="s">
        <v>268</v>
      </c>
      <c r="AQ12" s="7" t="s">
        <v>657</v>
      </c>
      <c r="AR12" s="7" t="s">
        <v>386</v>
      </c>
      <c r="AS12" s="7" t="s">
        <v>658</v>
      </c>
      <c r="AT12" s="7" t="s">
        <v>305</v>
      </c>
      <c r="AU12" s="20" t="s">
        <v>270</v>
      </c>
      <c r="AV12" s="20" t="s">
        <v>659</v>
      </c>
      <c r="AW12" s="7" t="s">
        <v>270</v>
      </c>
      <c r="AX12" s="7" t="s">
        <v>268</v>
      </c>
    </row>
    <row r="13" spans="1:50" ht="15.75" customHeight="1">
      <c r="A13" s="7" t="s">
        <v>237</v>
      </c>
      <c r="B13" s="7">
        <v>12</v>
      </c>
      <c r="C13" s="7" t="s">
        <v>54</v>
      </c>
      <c r="D13" s="7" t="s">
        <v>55</v>
      </c>
      <c r="E13" s="7">
        <v>2022</v>
      </c>
      <c r="F13" s="7" t="s">
        <v>24</v>
      </c>
      <c r="G13" s="7" t="s">
        <v>25</v>
      </c>
      <c r="H13" s="7" t="s">
        <v>13</v>
      </c>
      <c r="I13" s="7">
        <v>0</v>
      </c>
      <c r="J13" s="7" t="s">
        <v>660</v>
      </c>
      <c r="K13" s="7" t="s">
        <v>661</v>
      </c>
      <c r="L13" s="7" t="s">
        <v>366</v>
      </c>
      <c r="M13" s="7" t="s">
        <v>662</v>
      </c>
      <c r="N13" s="7" t="s">
        <v>662</v>
      </c>
      <c r="O13" s="7" t="s">
        <v>663</v>
      </c>
      <c r="P13" s="7" t="s">
        <v>1396</v>
      </c>
      <c r="Q13" s="7" t="s">
        <v>665</v>
      </c>
      <c r="R13" s="7" t="s">
        <v>317</v>
      </c>
      <c r="S13" s="7" t="s">
        <v>448</v>
      </c>
      <c r="T13" s="7" t="s">
        <v>666</v>
      </c>
      <c r="U13" s="7" t="s">
        <v>667</v>
      </c>
      <c r="V13" s="7" t="s">
        <v>514</v>
      </c>
      <c r="W13" s="7" t="s">
        <v>291</v>
      </c>
      <c r="X13" s="7" t="s">
        <v>321</v>
      </c>
      <c r="Y13" s="7" t="s">
        <v>668</v>
      </c>
      <c r="Z13" s="7" t="s">
        <v>293</v>
      </c>
      <c r="AA13" s="7" t="s">
        <v>255</v>
      </c>
      <c r="AB13" s="7" t="s">
        <v>669</v>
      </c>
      <c r="AC13" s="7" t="s">
        <v>257</v>
      </c>
      <c r="AD13" s="7" t="s">
        <v>670</v>
      </c>
      <c r="AE13" s="7" t="s">
        <v>671</v>
      </c>
      <c r="AF13" s="7" t="s">
        <v>672</v>
      </c>
      <c r="AG13" s="7" t="s">
        <v>673</v>
      </c>
      <c r="AH13" s="7" t="s">
        <v>262</v>
      </c>
      <c r="AI13" s="7" t="s">
        <v>262</v>
      </c>
      <c r="AJ13" s="7" t="s">
        <v>674</v>
      </c>
      <c r="AK13" s="7" t="s">
        <v>675</v>
      </c>
      <c r="AL13" s="7" t="s">
        <v>385</v>
      </c>
      <c r="AM13" s="7" t="s">
        <v>262</v>
      </c>
      <c r="AN13" s="7" t="s">
        <v>676</v>
      </c>
      <c r="AO13" s="7" t="s">
        <v>677</v>
      </c>
      <c r="AP13" s="7" t="s">
        <v>268</v>
      </c>
      <c r="AQ13" s="7" t="s">
        <v>678</v>
      </c>
      <c r="AR13" s="7" t="s">
        <v>679</v>
      </c>
      <c r="AS13" s="7" t="s">
        <v>680</v>
      </c>
      <c r="AT13" s="7" t="s">
        <v>305</v>
      </c>
      <c r="AU13" s="20" t="s">
        <v>681</v>
      </c>
      <c r="AV13" s="20" t="s">
        <v>682</v>
      </c>
      <c r="AW13" s="7" t="s">
        <v>683</v>
      </c>
      <c r="AX13" s="7" t="s">
        <v>268</v>
      </c>
    </row>
    <row r="14" spans="1:50" ht="17.25" customHeight="1">
      <c r="A14" s="7" t="s">
        <v>237</v>
      </c>
      <c r="B14" s="7">
        <v>13</v>
      </c>
      <c r="C14" s="7" t="s">
        <v>57</v>
      </c>
      <c r="D14" s="7" t="s">
        <v>58</v>
      </c>
      <c r="E14" s="7">
        <v>2019</v>
      </c>
      <c r="F14" s="7" t="s">
        <v>59</v>
      </c>
      <c r="G14" s="7" t="s">
        <v>12</v>
      </c>
      <c r="H14" s="7" t="s">
        <v>20</v>
      </c>
      <c r="I14" s="7">
        <v>13</v>
      </c>
      <c r="J14" s="7" t="s">
        <v>684</v>
      </c>
      <c r="K14" s="7" t="s">
        <v>685</v>
      </c>
      <c r="L14" s="7" t="s">
        <v>366</v>
      </c>
      <c r="M14" s="7" t="s">
        <v>599</v>
      </c>
      <c r="N14" s="7" t="s">
        <v>599</v>
      </c>
      <c r="O14" s="7" t="s">
        <v>686</v>
      </c>
      <c r="P14" s="7" t="s">
        <v>687</v>
      </c>
      <c r="Q14" s="7" t="s">
        <v>688</v>
      </c>
      <c r="R14" s="7" t="s">
        <v>246</v>
      </c>
      <c r="S14" s="7" t="s">
        <v>689</v>
      </c>
      <c r="T14" s="7" t="s">
        <v>690</v>
      </c>
      <c r="U14" s="7" t="s">
        <v>691</v>
      </c>
      <c r="V14" s="7" t="s">
        <v>290</v>
      </c>
      <c r="W14" s="7" t="s">
        <v>291</v>
      </c>
      <c r="X14" s="7" t="s">
        <v>321</v>
      </c>
      <c r="Y14" s="7" t="s">
        <v>692</v>
      </c>
      <c r="Z14" s="7" t="s">
        <v>293</v>
      </c>
      <c r="AA14" s="7" t="s">
        <v>255</v>
      </c>
      <c r="AB14" s="7" t="s">
        <v>693</v>
      </c>
      <c r="AC14" s="7" t="s">
        <v>257</v>
      </c>
      <c r="AD14" s="7" t="s">
        <v>694</v>
      </c>
      <c r="AE14" s="7" t="s">
        <v>671</v>
      </c>
      <c r="AF14" s="7" t="s">
        <v>695</v>
      </c>
      <c r="AG14" s="7" t="s">
        <v>696</v>
      </c>
      <c r="AH14" s="7" t="s">
        <v>262</v>
      </c>
      <c r="AI14" s="7" t="s">
        <v>262</v>
      </c>
      <c r="AJ14" s="7" t="s">
        <v>328</v>
      </c>
      <c r="AK14" s="7" t="s">
        <v>264</v>
      </c>
      <c r="AL14" s="7" t="s">
        <v>265</v>
      </c>
      <c r="AM14" s="7" t="s">
        <v>265</v>
      </c>
      <c r="AN14" s="7" t="s">
        <v>697</v>
      </c>
      <c r="AO14" s="7" t="s">
        <v>698</v>
      </c>
      <c r="AP14" s="7" t="s">
        <v>268</v>
      </c>
      <c r="AQ14" s="7" t="s">
        <v>699</v>
      </c>
      <c r="AR14" s="7"/>
      <c r="AS14" s="7" t="s">
        <v>700</v>
      </c>
      <c r="AT14" s="7" t="s">
        <v>265</v>
      </c>
      <c r="AU14" s="20" t="s">
        <v>701</v>
      </c>
      <c r="AV14" s="20" t="s">
        <v>702</v>
      </c>
      <c r="AW14" s="7" t="s">
        <v>270</v>
      </c>
      <c r="AX14" s="7" t="s">
        <v>268</v>
      </c>
    </row>
    <row r="15" spans="1:50" ht="18" customHeight="1">
      <c r="A15" s="7" t="s">
        <v>237</v>
      </c>
      <c r="B15" s="7">
        <v>14</v>
      </c>
      <c r="C15" s="7" t="s">
        <v>61</v>
      </c>
      <c r="D15" s="7" t="s">
        <v>62</v>
      </c>
      <c r="E15" s="7">
        <v>2021</v>
      </c>
      <c r="F15" s="7" t="s">
        <v>63</v>
      </c>
      <c r="G15" s="7" t="s">
        <v>12</v>
      </c>
      <c r="H15" s="7" t="s">
        <v>64</v>
      </c>
      <c r="I15" s="7">
        <v>8</v>
      </c>
      <c r="J15" s="7" t="s">
        <v>703</v>
      </c>
      <c r="K15" s="7" t="s">
        <v>704</v>
      </c>
      <c r="L15" s="7" t="s">
        <v>554</v>
      </c>
      <c r="M15" s="7" t="s">
        <v>619</v>
      </c>
      <c r="N15" s="7" t="s">
        <v>419</v>
      </c>
      <c r="O15" s="7" t="s">
        <v>705</v>
      </c>
      <c r="P15" s="7" t="s">
        <v>706</v>
      </c>
      <c r="Q15" s="7" t="s">
        <v>707</v>
      </c>
      <c r="R15" s="7" t="s">
        <v>246</v>
      </c>
      <c r="S15" s="7" t="s">
        <v>708</v>
      </c>
      <c r="T15" s="7" t="s">
        <v>709</v>
      </c>
      <c r="U15" s="7" t="s">
        <v>710</v>
      </c>
      <c r="V15" s="7" t="s">
        <v>290</v>
      </c>
      <c r="W15" s="7" t="s">
        <v>515</v>
      </c>
      <c r="X15" s="7" t="s">
        <v>321</v>
      </c>
      <c r="Y15" s="7" t="s">
        <v>711</v>
      </c>
      <c r="Z15" s="7" t="s">
        <v>712</v>
      </c>
      <c r="AA15" s="7" t="s">
        <v>379</v>
      </c>
      <c r="AB15" s="7" t="s">
        <v>713</v>
      </c>
      <c r="AC15" s="7" t="s">
        <v>257</v>
      </c>
      <c r="AD15" s="7" t="s">
        <v>714</v>
      </c>
      <c r="AE15" s="7" t="s">
        <v>259</v>
      </c>
      <c r="AF15" s="7" t="s">
        <v>386</v>
      </c>
      <c r="AG15" s="7" t="s">
        <v>715</v>
      </c>
      <c r="AH15" s="7" t="s">
        <v>262</v>
      </c>
      <c r="AI15" s="7" t="s">
        <v>262</v>
      </c>
      <c r="AJ15" s="7" t="s">
        <v>328</v>
      </c>
      <c r="AK15" s="7" t="s">
        <v>264</v>
      </c>
      <c r="AL15" s="7" t="s">
        <v>265</v>
      </c>
      <c r="AM15" s="7" t="s">
        <v>265</v>
      </c>
      <c r="AN15" s="7" t="s">
        <v>716</v>
      </c>
      <c r="AO15" s="7" t="s">
        <v>717</v>
      </c>
      <c r="AP15" s="7" t="s">
        <v>268</v>
      </c>
      <c r="AQ15" s="7" t="s">
        <v>386</v>
      </c>
      <c r="AR15" s="7"/>
      <c r="AS15" s="7" t="s">
        <v>718</v>
      </c>
      <c r="AT15" s="7" t="s">
        <v>262</v>
      </c>
      <c r="AU15" s="20" t="s">
        <v>719</v>
      </c>
      <c r="AV15" s="20" t="s">
        <v>720</v>
      </c>
      <c r="AW15" s="7" t="s">
        <v>721</v>
      </c>
      <c r="AX15" s="7" t="s">
        <v>415</v>
      </c>
    </row>
    <row r="16" spans="1:50" ht="16.5" customHeight="1">
      <c r="A16" s="7" t="s">
        <v>237</v>
      </c>
      <c r="B16" s="7">
        <v>15</v>
      </c>
      <c r="C16" s="7" t="s">
        <v>66</v>
      </c>
      <c r="D16" s="7" t="s">
        <v>723</v>
      </c>
      <c r="E16" s="7">
        <v>2020</v>
      </c>
      <c r="F16" s="7" t="s">
        <v>68</v>
      </c>
      <c r="G16" s="7" t="s">
        <v>47</v>
      </c>
      <c r="H16" s="7" t="s">
        <v>64</v>
      </c>
      <c r="I16" s="7">
        <v>3</v>
      </c>
      <c r="J16" s="7" t="s">
        <v>724</v>
      </c>
      <c r="K16" s="7" t="s">
        <v>725</v>
      </c>
      <c r="L16" s="7" t="s">
        <v>366</v>
      </c>
      <c r="M16" s="7" t="s">
        <v>386</v>
      </c>
      <c r="N16" s="7" t="s">
        <v>313</v>
      </c>
      <c r="O16" s="7" t="s">
        <v>488</v>
      </c>
      <c r="P16" s="7" t="s">
        <v>726</v>
      </c>
      <c r="Q16" s="7" t="s">
        <v>727</v>
      </c>
      <c r="R16" s="7" t="s">
        <v>246</v>
      </c>
      <c r="S16" s="7" t="s">
        <v>728</v>
      </c>
      <c r="T16" s="7" t="s">
        <v>729</v>
      </c>
      <c r="U16" s="7" t="s">
        <v>730</v>
      </c>
      <c r="V16" s="7" t="s">
        <v>290</v>
      </c>
      <c r="W16" s="7" t="s">
        <v>378</v>
      </c>
      <c r="X16" s="7" t="s">
        <v>321</v>
      </c>
      <c r="Y16" s="7" t="s">
        <v>731</v>
      </c>
      <c r="Z16" s="7" t="s">
        <v>732</v>
      </c>
      <c r="AA16" s="7" t="s">
        <v>255</v>
      </c>
      <c r="AB16" s="7" t="s">
        <v>733</v>
      </c>
      <c r="AC16" s="7" t="s">
        <v>257</v>
      </c>
      <c r="AD16" s="7" t="s">
        <v>734</v>
      </c>
      <c r="AE16" s="7" t="s">
        <v>259</v>
      </c>
      <c r="AF16" s="7" t="s">
        <v>386</v>
      </c>
      <c r="AG16" s="7" t="s">
        <v>735</v>
      </c>
      <c r="AH16" s="7" t="s">
        <v>262</v>
      </c>
      <c r="AI16" s="7" t="s">
        <v>262</v>
      </c>
      <c r="AJ16" s="7" t="s">
        <v>328</v>
      </c>
      <c r="AK16" s="7" t="s">
        <v>736</v>
      </c>
      <c r="AL16" s="7" t="s">
        <v>385</v>
      </c>
      <c r="AM16" s="7" t="s">
        <v>262</v>
      </c>
      <c r="AN16" s="7" t="s">
        <v>737</v>
      </c>
      <c r="AO16" s="7"/>
      <c r="AP16" s="7" t="s">
        <v>268</v>
      </c>
      <c r="AQ16" s="7"/>
      <c r="AR16" s="7"/>
      <c r="AS16" s="7" t="s">
        <v>738</v>
      </c>
      <c r="AT16" s="7" t="s">
        <v>305</v>
      </c>
      <c r="AU16" s="20" t="s">
        <v>739</v>
      </c>
      <c r="AV16" s="20" t="s">
        <v>740</v>
      </c>
      <c r="AW16" s="7" t="s">
        <v>741</v>
      </c>
      <c r="AX16" s="7" t="s">
        <v>415</v>
      </c>
    </row>
    <row r="17" spans="1:50" ht="17.25" customHeight="1">
      <c r="A17" s="7" t="s">
        <v>237</v>
      </c>
      <c r="B17" s="7">
        <v>16</v>
      </c>
      <c r="C17" s="7" t="s">
        <v>70</v>
      </c>
      <c r="D17" s="7" t="s">
        <v>71</v>
      </c>
      <c r="E17" s="7">
        <v>2019</v>
      </c>
      <c r="F17" s="7" t="s">
        <v>24</v>
      </c>
      <c r="G17" s="7" t="s">
        <v>25</v>
      </c>
      <c r="H17" s="7" t="s">
        <v>20</v>
      </c>
      <c r="I17" s="7">
        <v>3</v>
      </c>
      <c r="J17" s="7" t="s">
        <v>742</v>
      </c>
      <c r="K17" s="7" t="s">
        <v>743</v>
      </c>
      <c r="L17" s="7" t="s">
        <v>366</v>
      </c>
      <c r="M17" s="7" t="s">
        <v>619</v>
      </c>
      <c r="N17" s="7" t="s">
        <v>313</v>
      </c>
      <c r="O17" s="7" t="s">
        <v>744</v>
      </c>
      <c r="P17" s="7" t="s">
        <v>745</v>
      </c>
      <c r="Q17" s="7" t="s">
        <v>746</v>
      </c>
      <c r="R17" s="7" t="s">
        <v>246</v>
      </c>
      <c r="S17" s="7" t="s">
        <v>747</v>
      </c>
      <c r="T17" s="7" t="s">
        <v>748</v>
      </c>
      <c r="U17" s="7" t="s">
        <v>749</v>
      </c>
      <c r="V17" s="7" t="s">
        <v>290</v>
      </c>
      <c r="W17" s="7" t="s">
        <v>291</v>
      </c>
      <c r="X17" s="7" t="s">
        <v>321</v>
      </c>
      <c r="Y17" s="7" t="s">
        <v>692</v>
      </c>
      <c r="Z17" s="7" t="s">
        <v>427</v>
      </c>
      <c r="AA17" s="7" t="s">
        <v>255</v>
      </c>
      <c r="AB17" s="7" t="s">
        <v>750</v>
      </c>
      <c r="AC17" s="7" t="s">
        <v>257</v>
      </c>
      <c r="AD17" s="7" t="s">
        <v>751</v>
      </c>
      <c r="AE17" s="7" t="s">
        <v>671</v>
      </c>
      <c r="AF17" s="7" t="s">
        <v>752</v>
      </c>
      <c r="AG17" s="7" t="s">
        <v>753</v>
      </c>
      <c r="AH17" s="7" t="s">
        <v>262</v>
      </c>
      <c r="AI17" s="7" t="s">
        <v>262</v>
      </c>
      <c r="AJ17" s="7" t="s">
        <v>754</v>
      </c>
      <c r="AK17" s="7" t="s">
        <v>264</v>
      </c>
      <c r="AL17" s="7" t="s">
        <v>265</v>
      </c>
      <c r="AM17" s="7" t="s">
        <v>262</v>
      </c>
      <c r="AN17" s="7" t="s">
        <v>755</v>
      </c>
      <c r="AO17" s="7" t="s">
        <v>756</v>
      </c>
      <c r="AP17" s="7" t="s">
        <v>409</v>
      </c>
      <c r="AQ17" s="7" t="s">
        <v>757</v>
      </c>
      <c r="AR17" s="7" t="s">
        <v>758</v>
      </c>
      <c r="AS17" s="7" t="s">
        <v>759</v>
      </c>
      <c r="AT17" s="7" t="s">
        <v>265</v>
      </c>
      <c r="AU17" s="20" t="s">
        <v>270</v>
      </c>
      <c r="AV17" s="20" t="s">
        <v>760</v>
      </c>
      <c r="AW17" s="7" t="s">
        <v>761</v>
      </c>
      <c r="AX17" s="7" t="s">
        <v>268</v>
      </c>
    </row>
    <row r="18" spans="1:50" ht="17.25" customHeight="1">
      <c r="A18" s="7" t="s">
        <v>237</v>
      </c>
      <c r="B18" s="7">
        <v>17</v>
      </c>
      <c r="C18" s="7" t="s">
        <v>73</v>
      </c>
      <c r="D18" s="7" t="s">
        <v>74</v>
      </c>
      <c r="E18" s="7">
        <v>2019</v>
      </c>
      <c r="F18" s="7" t="s">
        <v>63</v>
      </c>
      <c r="G18" s="7" t="s">
        <v>12</v>
      </c>
      <c r="H18" s="7" t="s">
        <v>64</v>
      </c>
      <c r="I18" s="7">
        <v>4</v>
      </c>
      <c r="J18" s="19" t="s">
        <v>762</v>
      </c>
      <c r="K18" s="7" t="s">
        <v>763</v>
      </c>
      <c r="L18" s="7" t="s">
        <v>366</v>
      </c>
      <c r="M18" s="7" t="s">
        <v>619</v>
      </c>
      <c r="N18" s="7" t="s">
        <v>764</v>
      </c>
      <c r="O18" s="7" t="s">
        <v>765</v>
      </c>
      <c r="P18" s="7" t="s">
        <v>766</v>
      </c>
      <c r="Q18" s="7" t="s">
        <v>767</v>
      </c>
      <c r="R18" s="7" t="s">
        <v>246</v>
      </c>
      <c r="S18" s="7" t="s">
        <v>768</v>
      </c>
      <c r="T18" s="7" t="s">
        <v>769</v>
      </c>
      <c r="U18" s="7" t="s">
        <v>770</v>
      </c>
      <c r="V18" s="7" t="s">
        <v>290</v>
      </c>
      <c r="W18" s="7" t="s">
        <v>291</v>
      </c>
      <c r="X18" s="7" t="s">
        <v>321</v>
      </c>
      <c r="Y18" s="7" t="s">
        <v>771</v>
      </c>
      <c r="Z18" s="7" t="s">
        <v>772</v>
      </c>
      <c r="AA18" s="7" t="s">
        <v>255</v>
      </c>
      <c r="AB18" s="7" t="s">
        <v>773</v>
      </c>
      <c r="AC18" s="7" t="s">
        <v>257</v>
      </c>
      <c r="AD18" s="7" t="s">
        <v>774</v>
      </c>
      <c r="AE18" s="7" t="s">
        <v>671</v>
      </c>
      <c r="AF18" s="7" t="s">
        <v>775</v>
      </c>
      <c r="AG18" s="7" t="s">
        <v>776</v>
      </c>
      <c r="AH18" s="7" t="s">
        <v>262</v>
      </c>
      <c r="AI18" s="7" t="s">
        <v>262</v>
      </c>
      <c r="AJ18" s="7" t="s">
        <v>777</v>
      </c>
      <c r="AK18" s="7" t="s">
        <v>264</v>
      </c>
      <c r="AL18" s="7" t="s">
        <v>265</v>
      </c>
      <c r="AM18" s="7" t="s">
        <v>265</v>
      </c>
      <c r="AN18" s="7" t="s">
        <v>778</v>
      </c>
      <c r="AO18" s="7" t="s">
        <v>779</v>
      </c>
      <c r="AP18" s="7" t="s">
        <v>409</v>
      </c>
      <c r="AQ18" s="7" t="s">
        <v>780</v>
      </c>
      <c r="AR18" s="7" t="s">
        <v>781</v>
      </c>
      <c r="AS18" s="7" t="s">
        <v>782</v>
      </c>
      <c r="AT18" s="7" t="s">
        <v>305</v>
      </c>
      <c r="AU18" s="20" t="s">
        <v>783</v>
      </c>
      <c r="AV18" s="20" t="s">
        <v>784</v>
      </c>
      <c r="AW18" s="7" t="s">
        <v>785</v>
      </c>
      <c r="AX18" s="7" t="s">
        <v>351</v>
      </c>
    </row>
    <row r="19" spans="1:50" ht="15.75" customHeight="1">
      <c r="A19" s="7" t="s">
        <v>237</v>
      </c>
      <c r="B19" s="7">
        <v>18</v>
      </c>
      <c r="C19" s="7" t="s">
        <v>76</v>
      </c>
      <c r="D19" s="7" t="s">
        <v>77</v>
      </c>
      <c r="E19" s="7">
        <v>2022</v>
      </c>
      <c r="F19" s="7" t="s">
        <v>78</v>
      </c>
      <c r="G19" s="7" t="s">
        <v>25</v>
      </c>
      <c r="H19" s="7" t="s">
        <v>64</v>
      </c>
      <c r="I19" s="7">
        <v>0</v>
      </c>
      <c r="J19" s="7" t="s">
        <v>786</v>
      </c>
      <c r="K19" s="7" t="s">
        <v>787</v>
      </c>
      <c r="L19" s="7" t="s">
        <v>788</v>
      </c>
      <c r="M19" s="7" t="s">
        <v>619</v>
      </c>
      <c r="N19" s="7" t="s">
        <v>789</v>
      </c>
      <c r="O19" s="7" t="s">
        <v>790</v>
      </c>
      <c r="P19" s="7" t="s">
        <v>1397</v>
      </c>
      <c r="Q19" s="7" t="s">
        <v>792</v>
      </c>
      <c r="R19" s="7" t="s">
        <v>246</v>
      </c>
      <c r="S19" s="7" t="s">
        <v>793</v>
      </c>
      <c r="T19" s="7" t="s">
        <v>794</v>
      </c>
      <c r="U19" s="7" t="s">
        <v>795</v>
      </c>
      <c r="V19" s="7" t="s">
        <v>290</v>
      </c>
      <c r="W19" s="7" t="s">
        <v>378</v>
      </c>
      <c r="X19" s="7" t="s">
        <v>377</v>
      </c>
      <c r="Y19" s="7" t="s">
        <v>378</v>
      </c>
      <c r="Z19" s="7" t="s">
        <v>378</v>
      </c>
      <c r="AA19" s="7" t="s">
        <v>255</v>
      </c>
      <c r="AB19" s="7" t="s">
        <v>796</v>
      </c>
      <c r="AC19" s="7" t="s">
        <v>257</v>
      </c>
      <c r="AD19" s="7" t="s">
        <v>797</v>
      </c>
      <c r="AE19" s="7" t="s">
        <v>351</v>
      </c>
      <c r="AF19" s="7" t="s">
        <v>386</v>
      </c>
      <c r="AG19" s="7" t="s">
        <v>798</v>
      </c>
      <c r="AH19" s="7" t="s">
        <v>262</v>
      </c>
      <c r="AI19" s="7" t="s">
        <v>262</v>
      </c>
      <c r="AJ19" s="7" t="s">
        <v>457</v>
      </c>
      <c r="AK19" s="7"/>
      <c r="AL19" s="7" t="s">
        <v>385</v>
      </c>
      <c r="AM19" s="7"/>
      <c r="AN19" s="7"/>
      <c r="AO19" s="7" t="s">
        <v>799</v>
      </c>
      <c r="AP19" s="7" t="s">
        <v>409</v>
      </c>
      <c r="AQ19" s="7"/>
      <c r="AR19" s="7"/>
      <c r="AS19" s="7" t="s">
        <v>800</v>
      </c>
      <c r="AT19" s="7" t="s">
        <v>305</v>
      </c>
      <c r="AU19" s="20" t="s">
        <v>270</v>
      </c>
      <c r="AV19" s="20" t="s">
        <v>801</v>
      </c>
      <c r="AW19" s="7" t="s">
        <v>802</v>
      </c>
      <c r="AX19" s="7" t="s">
        <v>415</v>
      </c>
    </row>
    <row r="20" spans="1:50" ht="17.25" customHeight="1">
      <c r="A20" s="7" t="s">
        <v>237</v>
      </c>
      <c r="B20" s="7">
        <v>19</v>
      </c>
      <c r="C20" s="7" t="s">
        <v>80</v>
      </c>
      <c r="D20" s="7" t="s">
        <v>81</v>
      </c>
      <c r="E20" s="7">
        <v>2020</v>
      </c>
      <c r="F20" s="7" t="s">
        <v>82</v>
      </c>
      <c r="G20" s="7" t="s">
        <v>12</v>
      </c>
      <c r="H20" s="7" t="s">
        <v>83</v>
      </c>
      <c r="I20" s="7">
        <v>3</v>
      </c>
      <c r="J20" s="7" t="s">
        <v>803</v>
      </c>
      <c r="K20" s="7" t="s">
        <v>804</v>
      </c>
      <c r="L20" s="7" t="s">
        <v>366</v>
      </c>
      <c r="M20" s="7" t="s">
        <v>599</v>
      </c>
      <c r="N20" s="7" t="s">
        <v>599</v>
      </c>
      <c r="O20" s="7" t="s">
        <v>341</v>
      </c>
      <c r="P20" s="7" t="s">
        <v>805</v>
      </c>
      <c r="Q20" s="7" t="s">
        <v>806</v>
      </c>
      <c r="R20" s="7" t="s">
        <v>246</v>
      </c>
      <c r="S20" s="7" t="s">
        <v>807</v>
      </c>
      <c r="T20" s="7" t="s">
        <v>808</v>
      </c>
      <c r="U20" s="7" t="s">
        <v>809</v>
      </c>
      <c r="V20" s="7" t="s">
        <v>290</v>
      </c>
      <c r="W20" s="7" t="s">
        <v>515</v>
      </c>
      <c r="X20" s="7" t="s">
        <v>321</v>
      </c>
      <c r="Y20" s="7" t="s">
        <v>692</v>
      </c>
      <c r="Z20" s="7" t="s">
        <v>293</v>
      </c>
      <c r="AA20" s="7" t="s">
        <v>379</v>
      </c>
      <c r="AB20" s="7" t="s">
        <v>323</v>
      </c>
      <c r="AC20" s="7" t="s">
        <v>257</v>
      </c>
      <c r="AD20" s="7" t="s">
        <v>810</v>
      </c>
      <c r="AE20" s="7" t="s">
        <v>351</v>
      </c>
      <c r="AF20" s="7" t="s">
        <v>325</v>
      </c>
      <c r="AG20" s="7" t="s">
        <v>811</v>
      </c>
      <c r="AH20" s="7" t="s">
        <v>262</v>
      </c>
      <c r="AI20" s="7" t="s">
        <v>262</v>
      </c>
      <c r="AJ20" s="7" t="s">
        <v>328</v>
      </c>
      <c r="AK20" s="7" t="s">
        <v>264</v>
      </c>
      <c r="AL20" s="7" t="s">
        <v>385</v>
      </c>
      <c r="AM20" s="7"/>
      <c r="AN20" s="7" t="s">
        <v>812</v>
      </c>
      <c r="AO20" s="7"/>
      <c r="AP20" s="7" t="s">
        <v>268</v>
      </c>
      <c r="AQ20" s="7" t="s">
        <v>813</v>
      </c>
      <c r="AR20" s="7" t="s">
        <v>814</v>
      </c>
      <c r="AS20" s="7" t="s">
        <v>815</v>
      </c>
      <c r="AT20" s="7" t="s">
        <v>265</v>
      </c>
      <c r="AU20" s="20" t="s">
        <v>816</v>
      </c>
      <c r="AV20" s="20" t="s">
        <v>817</v>
      </c>
      <c r="AW20" s="7" t="s">
        <v>818</v>
      </c>
      <c r="AX20" s="7" t="s">
        <v>351</v>
      </c>
    </row>
    <row r="21" spans="1:50" ht="18" customHeight="1">
      <c r="A21" s="7" t="s">
        <v>237</v>
      </c>
      <c r="B21" s="7">
        <v>20</v>
      </c>
      <c r="C21" s="7" t="s">
        <v>85</v>
      </c>
      <c r="D21" s="7" t="s">
        <v>86</v>
      </c>
      <c r="E21" s="7">
        <v>2019</v>
      </c>
      <c r="F21" s="7" t="s">
        <v>24</v>
      </c>
      <c r="G21" s="7" t="s">
        <v>25</v>
      </c>
      <c r="H21" s="7" t="s">
        <v>20</v>
      </c>
      <c r="I21" s="7">
        <v>5</v>
      </c>
      <c r="J21" s="7" t="s">
        <v>819</v>
      </c>
      <c r="K21" s="7" t="s">
        <v>820</v>
      </c>
      <c r="L21" s="7" t="s">
        <v>366</v>
      </c>
      <c r="M21" s="7" t="s">
        <v>821</v>
      </c>
      <c r="N21" s="7" t="s">
        <v>821</v>
      </c>
      <c r="O21" s="7" t="s">
        <v>341</v>
      </c>
      <c r="P21" s="7" t="s">
        <v>822</v>
      </c>
      <c r="Q21" s="7" t="s">
        <v>823</v>
      </c>
      <c r="R21" s="7" t="s">
        <v>317</v>
      </c>
      <c r="S21" s="7" t="s">
        <v>824</v>
      </c>
      <c r="T21" s="7" t="s">
        <v>825</v>
      </c>
      <c r="U21" s="7" t="s">
        <v>826</v>
      </c>
      <c r="V21" s="7" t="s">
        <v>290</v>
      </c>
      <c r="W21" s="7" t="s">
        <v>515</v>
      </c>
      <c r="X21" s="7" t="s">
        <v>252</v>
      </c>
      <c r="Y21" s="7" t="s">
        <v>827</v>
      </c>
      <c r="Z21" s="7" t="s">
        <v>427</v>
      </c>
      <c r="AA21" s="7" t="s">
        <v>379</v>
      </c>
      <c r="AB21" s="7" t="s">
        <v>828</v>
      </c>
      <c r="AC21" s="7" t="s">
        <v>257</v>
      </c>
      <c r="AD21" s="7" t="s">
        <v>829</v>
      </c>
      <c r="AE21" s="7" t="s">
        <v>259</v>
      </c>
      <c r="AF21" s="7" t="s">
        <v>830</v>
      </c>
      <c r="AG21" s="7" t="s">
        <v>831</v>
      </c>
      <c r="AH21" s="7" t="s">
        <v>262</v>
      </c>
      <c r="AI21" s="7" t="s">
        <v>262</v>
      </c>
      <c r="AJ21" s="7" t="s">
        <v>832</v>
      </c>
      <c r="AK21" s="7" t="s">
        <v>264</v>
      </c>
      <c r="AL21" s="7" t="s">
        <v>385</v>
      </c>
      <c r="AM21" s="7"/>
      <c r="AN21" s="7" t="s">
        <v>833</v>
      </c>
      <c r="AO21" s="7" t="s">
        <v>834</v>
      </c>
      <c r="AP21" s="7" t="s">
        <v>409</v>
      </c>
      <c r="AQ21" s="7" t="s">
        <v>325</v>
      </c>
      <c r="AR21" s="7" t="s">
        <v>325</v>
      </c>
      <c r="AS21" s="7" t="s">
        <v>835</v>
      </c>
      <c r="AT21" s="7" t="s">
        <v>305</v>
      </c>
      <c r="AU21" s="20" t="s">
        <v>836</v>
      </c>
      <c r="AV21" s="20" t="s">
        <v>837</v>
      </c>
      <c r="AW21" s="7" t="s">
        <v>838</v>
      </c>
      <c r="AX21" s="7" t="s">
        <v>351</v>
      </c>
    </row>
    <row r="22" spans="1:50" ht="17.25" customHeight="1">
      <c r="A22" s="7" t="s">
        <v>237</v>
      </c>
      <c r="B22" s="7">
        <v>21</v>
      </c>
      <c r="C22" s="7" t="s">
        <v>88</v>
      </c>
      <c r="D22" s="7" t="s">
        <v>89</v>
      </c>
      <c r="E22" s="7">
        <v>2014</v>
      </c>
      <c r="F22" s="7" t="s">
        <v>90</v>
      </c>
      <c r="G22" s="7" t="s">
        <v>12</v>
      </c>
      <c r="H22" s="7" t="s">
        <v>20</v>
      </c>
      <c r="I22" s="7">
        <v>41</v>
      </c>
      <c r="J22" s="7" t="s">
        <v>839</v>
      </c>
      <c r="K22" s="7" t="s">
        <v>840</v>
      </c>
      <c r="L22" s="7" t="s">
        <v>366</v>
      </c>
      <c r="M22" s="7" t="s">
        <v>619</v>
      </c>
      <c r="N22" s="7" t="s">
        <v>841</v>
      </c>
      <c r="O22" s="7" t="s">
        <v>842</v>
      </c>
      <c r="P22" s="7" t="s">
        <v>843</v>
      </c>
      <c r="Q22" s="7" t="s">
        <v>844</v>
      </c>
      <c r="R22" s="7" t="s">
        <v>246</v>
      </c>
      <c r="S22" s="7" t="s">
        <v>845</v>
      </c>
      <c r="T22" s="7" t="s">
        <v>846</v>
      </c>
      <c r="U22" s="7" t="s">
        <v>847</v>
      </c>
      <c r="V22" s="7" t="s">
        <v>848</v>
      </c>
      <c r="W22" s="7" t="s">
        <v>515</v>
      </c>
      <c r="X22" s="7" t="s">
        <v>321</v>
      </c>
      <c r="Y22" s="7" t="s">
        <v>849</v>
      </c>
      <c r="Z22" s="7" t="s">
        <v>772</v>
      </c>
      <c r="AA22" s="7" t="s">
        <v>379</v>
      </c>
      <c r="AB22" s="7" t="s">
        <v>270</v>
      </c>
      <c r="AC22" s="7" t="s">
        <v>257</v>
      </c>
      <c r="AD22" s="7" t="s">
        <v>850</v>
      </c>
      <c r="AE22" s="7" t="s">
        <v>259</v>
      </c>
      <c r="AF22" s="21" t="s">
        <v>851</v>
      </c>
      <c r="AG22" s="7" t="s">
        <v>852</v>
      </c>
      <c r="AH22" s="7" t="s">
        <v>262</v>
      </c>
      <c r="AI22" s="7" t="s">
        <v>262</v>
      </c>
      <c r="AJ22" s="7" t="s">
        <v>457</v>
      </c>
      <c r="AK22" s="7"/>
      <c r="AL22" s="7" t="s">
        <v>385</v>
      </c>
      <c r="AM22" s="7"/>
      <c r="AN22" s="7"/>
      <c r="AO22" s="7"/>
      <c r="AP22" s="7" t="s">
        <v>409</v>
      </c>
      <c r="AQ22" s="7"/>
      <c r="AR22" s="7"/>
      <c r="AS22" s="7" t="s">
        <v>853</v>
      </c>
      <c r="AT22" s="7" t="s">
        <v>305</v>
      </c>
      <c r="AU22" s="20" t="s">
        <v>854</v>
      </c>
      <c r="AV22" s="20" t="s">
        <v>855</v>
      </c>
      <c r="AW22" s="7" t="s">
        <v>856</v>
      </c>
      <c r="AX22" s="7" t="s">
        <v>351</v>
      </c>
    </row>
    <row r="23" spans="1:50" ht="19.5" customHeight="1">
      <c r="A23" s="7" t="s">
        <v>237</v>
      </c>
      <c r="B23" s="7">
        <v>22</v>
      </c>
      <c r="C23" s="7" t="s">
        <v>92</v>
      </c>
      <c r="D23" s="7" t="s">
        <v>93</v>
      </c>
      <c r="E23" s="7">
        <v>2022</v>
      </c>
      <c r="F23" s="7" t="s">
        <v>857</v>
      </c>
      <c r="G23" s="7" t="s">
        <v>47</v>
      </c>
      <c r="H23" s="7" t="s">
        <v>83</v>
      </c>
      <c r="I23" s="7">
        <v>6</v>
      </c>
      <c r="J23" s="7" t="s">
        <v>858</v>
      </c>
      <c r="K23" s="7" t="s">
        <v>859</v>
      </c>
      <c r="L23" s="7" t="s">
        <v>366</v>
      </c>
      <c r="M23" s="7" t="s">
        <v>860</v>
      </c>
      <c r="N23" s="7" t="s">
        <v>599</v>
      </c>
      <c r="O23" s="7" t="s">
        <v>861</v>
      </c>
      <c r="P23" s="7" t="s">
        <v>862</v>
      </c>
      <c r="Q23" s="7" t="s">
        <v>863</v>
      </c>
      <c r="R23" s="7" t="s">
        <v>864</v>
      </c>
      <c r="S23" s="7" t="s">
        <v>865</v>
      </c>
      <c r="T23" s="7" t="s">
        <v>866</v>
      </c>
      <c r="U23" s="7" t="s">
        <v>867</v>
      </c>
      <c r="V23" s="7" t="s">
        <v>290</v>
      </c>
      <c r="W23" s="7" t="s">
        <v>291</v>
      </c>
      <c r="X23" s="7" t="s">
        <v>321</v>
      </c>
      <c r="Y23" s="7" t="s">
        <v>868</v>
      </c>
      <c r="Z23" s="7" t="s">
        <v>869</v>
      </c>
      <c r="AA23" s="7" t="s">
        <v>255</v>
      </c>
      <c r="AB23" s="7" t="s">
        <v>323</v>
      </c>
      <c r="AC23" s="7" t="s">
        <v>257</v>
      </c>
      <c r="AD23" s="7" t="s">
        <v>870</v>
      </c>
      <c r="AE23" s="7" t="s">
        <v>671</v>
      </c>
      <c r="AF23" s="7" t="s">
        <v>871</v>
      </c>
      <c r="AG23" s="7" t="s">
        <v>872</v>
      </c>
      <c r="AH23" s="7" t="s">
        <v>262</v>
      </c>
      <c r="AI23" s="7" t="s">
        <v>262</v>
      </c>
      <c r="AJ23" s="7" t="s">
        <v>873</v>
      </c>
      <c r="AK23" s="7" t="s">
        <v>264</v>
      </c>
      <c r="AL23" s="7" t="s">
        <v>265</v>
      </c>
      <c r="AM23" s="7" t="s">
        <v>265</v>
      </c>
      <c r="AN23" s="7" t="s">
        <v>874</v>
      </c>
      <c r="AO23" s="7" t="s">
        <v>875</v>
      </c>
      <c r="AP23" s="7" t="s">
        <v>409</v>
      </c>
      <c r="AQ23" s="7" t="s">
        <v>876</v>
      </c>
      <c r="AR23" s="7" t="s">
        <v>270</v>
      </c>
      <c r="AS23" s="7" t="s">
        <v>877</v>
      </c>
      <c r="AT23" s="7" t="s">
        <v>305</v>
      </c>
      <c r="AU23" s="20" t="s">
        <v>878</v>
      </c>
      <c r="AV23" s="20" t="s">
        <v>879</v>
      </c>
      <c r="AW23" s="7" t="s">
        <v>880</v>
      </c>
      <c r="AX23" s="7" t="s">
        <v>268</v>
      </c>
    </row>
    <row r="24" spans="1:50" ht="18" customHeight="1">
      <c r="A24" s="7" t="s">
        <v>237</v>
      </c>
      <c r="B24" s="7">
        <v>23</v>
      </c>
      <c r="C24" s="7" t="s">
        <v>96</v>
      </c>
      <c r="D24" s="7" t="s">
        <v>97</v>
      </c>
      <c r="E24" s="7">
        <v>2017</v>
      </c>
      <c r="F24" s="7" t="s">
        <v>94</v>
      </c>
      <c r="G24" s="7" t="s">
        <v>47</v>
      </c>
      <c r="H24" s="7" t="s">
        <v>83</v>
      </c>
      <c r="I24" s="7">
        <v>40</v>
      </c>
      <c r="J24" s="7" t="s">
        <v>881</v>
      </c>
      <c r="K24" s="7" t="s">
        <v>882</v>
      </c>
      <c r="L24" s="7" t="s">
        <v>883</v>
      </c>
      <c r="M24" s="7" t="s">
        <v>884</v>
      </c>
      <c r="N24" s="7" t="s">
        <v>885</v>
      </c>
      <c r="O24" s="7" t="s">
        <v>886</v>
      </c>
      <c r="P24" s="7" t="s">
        <v>887</v>
      </c>
      <c r="Q24" s="7" t="s">
        <v>888</v>
      </c>
      <c r="R24" s="7" t="s">
        <v>317</v>
      </c>
      <c r="S24" s="7" t="s">
        <v>889</v>
      </c>
      <c r="T24" s="7" t="s">
        <v>890</v>
      </c>
      <c r="U24" s="7" t="s">
        <v>891</v>
      </c>
      <c r="V24" s="7" t="s">
        <v>290</v>
      </c>
      <c r="W24" s="7" t="s">
        <v>291</v>
      </c>
      <c r="X24" s="7" t="s">
        <v>321</v>
      </c>
      <c r="Y24" s="7" t="s">
        <v>692</v>
      </c>
      <c r="Z24" s="7" t="s">
        <v>892</v>
      </c>
      <c r="AA24" s="7" t="s">
        <v>255</v>
      </c>
      <c r="AB24" s="7" t="s">
        <v>893</v>
      </c>
      <c r="AC24" s="7" t="s">
        <v>257</v>
      </c>
      <c r="AD24" s="7" t="s">
        <v>894</v>
      </c>
      <c r="AE24" s="7" t="s">
        <v>586</v>
      </c>
      <c r="AF24" s="7" t="s">
        <v>895</v>
      </c>
      <c r="AG24" s="7" t="s">
        <v>896</v>
      </c>
      <c r="AH24" s="7" t="s">
        <v>262</v>
      </c>
      <c r="AI24" s="7" t="s">
        <v>262</v>
      </c>
      <c r="AJ24" s="7" t="s">
        <v>897</v>
      </c>
      <c r="AK24" s="7" t="s">
        <v>898</v>
      </c>
      <c r="AL24" s="7" t="s">
        <v>265</v>
      </c>
      <c r="AM24" s="7" t="s">
        <v>265</v>
      </c>
      <c r="AN24" s="7" t="s">
        <v>899</v>
      </c>
      <c r="AO24" s="7" t="s">
        <v>900</v>
      </c>
      <c r="AP24" s="7" t="s">
        <v>268</v>
      </c>
      <c r="AQ24" s="7" t="s">
        <v>901</v>
      </c>
      <c r="AR24" s="7" t="s">
        <v>270</v>
      </c>
      <c r="AS24" s="7" t="s">
        <v>902</v>
      </c>
      <c r="AT24" s="7" t="s">
        <v>265</v>
      </c>
      <c r="AU24" s="20" t="s">
        <v>903</v>
      </c>
      <c r="AV24" s="20" t="s">
        <v>904</v>
      </c>
      <c r="AW24" s="7" t="s">
        <v>905</v>
      </c>
      <c r="AX24" s="7" t="s">
        <v>268</v>
      </c>
    </row>
    <row r="25" spans="1:50" ht="18.75" customHeight="1">
      <c r="A25" s="7" t="s">
        <v>237</v>
      </c>
      <c r="B25" s="7">
        <v>24</v>
      </c>
      <c r="C25" s="7" t="s">
        <v>99</v>
      </c>
      <c r="D25" s="7" t="s">
        <v>100</v>
      </c>
      <c r="E25" s="7">
        <v>2019</v>
      </c>
      <c r="F25" s="7" t="s">
        <v>101</v>
      </c>
      <c r="G25" s="7" t="s">
        <v>12</v>
      </c>
      <c r="H25" s="7" t="s">
        <v>20</v>
      </c>
      <c r="I25" s="7">
        <v>11</v>
      </c>
      <c r="J25" s="7" t="s">
        <v>906</v>
      </c>
      <c r="K25" s="7" t="s">
        <v>907</v>
      </c>
      <c r="L25" s="7" t="s">
        <v>554</v>
      </c>
      <c r="M25" s="7" t="s">
        <v>908</v>
      </c>
      <c r="N25" s="7" t="s">
        <v>909</v>
      </c>
      <c r="O25" s="7" t="s">
        <v>910</v>
      </c>
      <c r="P25" s="7" t="s">
        <v>1398</v>
      </c>
      <c r="Q25" s="7" t="s">
        <v>912</v>
      </c>
      <c r="R25" s="7" t="s">
        <v>246</v>
      </c>
      <c r="S25" s="7" t="s">
        <v>913</v>
      </c>
      <c r="T25" s="7" t="s">
        <v>914</v>
      </c>
      <c r="U25" s="7" t="s">
        <v>915</v>
      </c>
      <c r="V25" s="7" t="s">
        <v>290</v>
      </c>
      <c r="W25" s="7" t="s">
        <v>515</v>
      </c>
      <c r="X25" s="7" t="s">
        <v>321</v>
      </c>
      <c r="Y25" s="7" t="s">
        <v>916</v>
      </c>
      <c r="Z25" s="7" t="s">
        <v>293</v>
      </c>
      <c r="AA25" s="7" t="s">
        <v>379</v>
      </c>
      <c r="AB25" s="7" t="s">
        <v>917</v>
      </c>
      <c r="AC25" s="7" t="s">
        <v>257</v>
      </c>
      <c r="AD25" s="7" t="s">
        <v>918</v>
      </c>
      <c r="AE25" s="7" t="s">
        <v>919</v>
      </c>
      <c r="AF25" s="7" t="s">
        <v>920</v>
      </c>
      <c r="AG25" s="7" t="s">
        <v>921</v>
      </c>
      <c r="AH25" s="7" t="s">
        <v>262</v>
      </c>
      <c r="AI25" s="7" t="s">
        <v>262</v>
      </c>
      <c r="AJ25" s="7" t="s">
        <v>922</v>
      </c>
      <c r="AK25" s="7" t="s">
        <v>264</v>
      </c>
      <c r="AL25" s="7" t="s">
        <v>385</v>
      </c>
      <c r="AM25" s="7"/>
      <c r="AN25" s="7" t="s">
        <v>386</v>
      </c>
      <c r="AO25" s="7" t="s">
        <v>923</v>
      </c>
      <c r="AP25" s="7" t="s">
        <v>268</v>
      </c>
      <c r="AQ25" s="7" t="s">
        <v>270</v>
      </c>
      <c r="AR25" s="7" t="s">
        <v>924</v>
      </c>
      <c r="AS25" s="7" t="s">
        <v>925</v>
      </c>
      <c r="AT25" s="7" t="s">
        <v>305</v>
      </c>
      <c r="AU25" s="20" t="s">
        <v>926</v>
      </c>
      <c r="AV25" s="20" t="s">
        <v>927</v>
      </c>
      <c r="AW25" s="7" t="s">
        <v>928</v>
      </c>
      <c r="AX25" s="7" t="s">
        <v>351</v>
      </c>
    </row>
    <row r="26" spans="1:50" ht="17.25" customHeight="1">
      <c r="A26" s="7" t="s">
        <v>237</v>
      </c>
      <c r="B26" s="7">
        <v>25</v>
      </c>
      <c r="C26" s="7" t="s">
        <v>103</v>
      </c>
      <c r="D26" s="7" t="s">
        <v>104</v>
      </c>
      <c r="E26" s="7">
        <v>2022</v>
      </c>
      <c r="F26" s="7" t="s">
        <v>105</v>
      </c>
      <c r="G26" s="7" t="s">
        <v>47</v>
      </c>
      <c r="H26" s="7" t="s">
        <v>64</v>
      </c>
      <c r="I26" s="7">
        <v>12</v>
      </c>
      <c r="J26" s="7" t="s">
        <v>929</v>
      </c>
      <c r="K26" s="7" t="s">
        <v>930</v>
      </c>
      <c r="L26" s="7" t="s">
        <v>554</v>
      </c>
      <c r="M26" s="7" t="s">
        <v>931</v>
      </c>
      <c r="N26" s="7" t="s">
        <v>931</v>
      </c>
      <c r="O26" s="7" t="s">
        <v>341</v>
      </c>
      <c r="P26" s="7" t="s">
        <v>932</v>
      </c>
      <c r="Q26" s="7" t="s">
        <v>933</v>
      </c>
      <c r="R26" s="7" t="s">
        <v>246</v>
      </c>
      <c r="S26" s="7" t="s">
        <v>934</v>
      </c>
      <c r="T26" s="7" t="s">
        <v>935</v>
      </c>
      <c r="U26" s="7" t="s">
        <v>936</v>
      </c>
      <c r="V26" s="7" t="s">
        <v>290</v>
      </c>
      <c r="W26" s="7" t="s">
        <v>291</v>
      </c>
      <c r="X26" s="7" t="s">
        <v>252</v>
      </c>
      <c r="Y26" s="7" t="s">
        <v>937</v>
      </c>
      <c r="Z26" s="7" t="s">
        <v>293</v>
      </c>
      <c r="AA26" s="7" t="s">
        <v>255</v>
      </c>
      <c r="AB26" s="7" t="s">
        <v>938</v>
      </c>
      <c r="AC26" s="7" t="s">
        <v>257</v>
      </c>
      <c r="AD26" s="7" t="s">
        <v>939</v>
      </c>
      <c r="AE26" s="7" t="s">
        <v>671</v>
      </c>
      <c r="AF26" s="7" t="s">
        <v>940</v>
      </c>
      <c r="AG26" s="7" t="s">
        <v>941</v>
      </c>
      <c r="AH26" s="7" t="s">
        <v>262</v>
      </c>
      <c r="AI26" s="7" t="s">
        <v>262</v>
      </c>
      <c r="AJ26" s="7" t="s">
        <v>942</v>
      </c>
      <c r="AK26" s="7" t="s">
        <v>264</v>
      </c>
      <c r="AL26" s="7" t="s">
        <v>385</v>
      </c>
      <c r="AM26" s="7"/>
      <c r="AN26" s="7"/>
      <c r="AO26" s="7" t="s">
        <v>943</v>
      </c>
      <c r="AP26" s="7" t="s">
        <v>268</v>
      </c>
      <c r="AQ26" s="7" t="s">
        <v>944</v>
      </c>
      <c r="AR26" s="7" t="s">
        <v>945</v>
      </c>
      <c r="AS26" s="7" t="s">
        <v>946</v>
      </c>
      <c r="AT26" s="7" t="s">
        <v>265</v>
      </c>
      <c r="AU26" s="20" t="s">
        <v>947</v>
      </c>
      <c r="AV26" s="20" t="s">
        <v>948</v>
      </c>
      <c r="AW26" s="7" t="s">
        <v>949</v>
      </c>
      <c r="AX26" s="7" t="s">
        <v>268</v>
      </c>
    </row>
    <row r="27" spans="1:50" ht="16.5" customHeight="1">
      <c r="A27" s="7" t="s">
        <v>237</v>
      </c>
      <c r="B27" s="7">
        <v>26</v>
      </c>
      <c r="C27" s="7" t="s">
        <v>107</v>
      </c>
      <c r="D27" s="7" t="s">
        <v>108</v>
      </c>
      <c r="E27" s="7">
        <v>2022</v>
      </c>
      <c r="F27" s="7" t="s">
        <v>109</v>
      </c>
      <c r="G27" s="7" t="s">
        <v>47</v>
      </c>
      <c r="H27" s="7" t="s">
        <v>64</v>
      </c>
      <c r="I27" s="7">
        <v>0</v>
      </c>
      <c r="J27" s="7" t="s">
        <v>950</v>
      </c>
      <c r="K27" s="7" t="s">
        <v>951</v>
      </c>
      <c r="L27" s="7" t="s">
        <v>554</v>
      </c>
      <c r="M27" s="7" t="s">
        <v>952</v>
      </c>
      <c r="N27" s="7" t="s">
        <v>419</v>
      </c>
      <c r="O27" s="7" t="s">
        <v>953</v>
      </c>
      <c r="P27" s="7" t="s">
        <v>954</v>
      </c>
      <c r="Q27" s="7" t="s">
        <v>955</v>
      </c>
      <c r="R27" s="7" t="s">
        <v>246</v>
      </c>
      <c r="S27" s="7" t="s">
        <v>956</v>
      </c>
      <c r="T27" s="7" t="s">
        <v>957</v>
      </c>
      <c r="U27" s="7" t="s">
        <v>958</v>
      </c>
      <c r="V27" s="7" t="s">
        <v>514</v>
      </c>
      <c r="W27" s="7" t="s">
        <v>378</v>
      </c>
      <c r="X27" s="7" t="s">
        <v>321</v>
      </c>
      <c r="Y27" s="7" t="s">
        <v>959</v>
      </c>
      <c r="Z27" s="7" t="s">
        <v>960</v>
      </c>
      <c r="AA27" s="7" t="s">
        <v>255</v>
      </c>
      <c r="AB27" s="7" t="s">
        <v>961</v>
      </c>
      <c r="AC27" s="7" t="s">
        <v>257</v>
      </c>
      <c r="AD27" s="7" t="s">
        <v>962</v>
      </c>
      <c r="AE27" s="7" t="s">
        <v>259</v>
      </c>
      <c r="AF27" s="7" t="s">
        <v>386</v>
      </c>
      <c r="AG27" s="7" t="s">
        <v>963</v>
      </c>
      <c r="AH27" s="7" t="s">
        <v>262</v>
      </c>
      <c r="AI27" s="7" t="s">
        <v>262</v>
      </c>
      <c r="AJ27" s="7" t="s">
        <v>457</v>
      </c>
      <c r="AK27" s="7"/>
      <c r="AL27" s="7" t="s">
        <v>262</v>
      </c>
      <c r="AM27" s="7" t="s">
        <v>262</v>
      </c>
      <c r="AN27" s="7"/>
      <c r="AO27" s="7" t="s">
        <v>325</v>
      </c>
      <c r="AP27" s="7" t="s">
        <v>409</v>
      </c>
      <c r="AQ27" s="7"/>
      <c r="AR27" s="7"/>
      <c r="AS27" s="7" t="s">
        <v>964</v>
      </c>
      <c r="AT27" s="7" t="s">
        <v>305</v>
      </c>
      <c r="AU27" s="20" t="s">
        <v>270</v>
      </c>
      <c r="AV27" s="20" t="s">
        <v>965</v>
      </c>
      <c r="AW27" s="7" t="s">
        <v>270</v>
      </c>
      <c r="AX27" s="7" t="s">
        <v>415</v>
      </c>
    </row>
    <row r="28" spans="1:50" ht="17.25" customHeight="1">
      <c r="A28" s="7" t="s">
        <v>237</v>
      </c>
      <c r="B28" s="7">
        <v>27</v>
      </c>
      <c r="C28" s="7" t="s">
        <v>1399</v>
      </c>
      <c r="D28" s="7" t="s">
        <v>112</v>
      </c>
      <c r="E28" s="7">
        <v>2023</v>
      </c>
      <c r="F28" s="7" t="s">
        <v>113</v>
      </c>
      <c r="G28" s="7" t="s">
        <v>47</v>
      </c>
      <c r="H28" s="7" t="s">
        <v>48</v>
      </c>
      <c r="I28" s="7">
        <v>0</v>
      </c>
      <c r="J28" s="7" t="s">
        <v>967</v>
      </c>
      <c r="K28" s="7" t="s">
        <v>968</v>
      </c>
      <c r="L28" s="7" t="s">
        <v>969</v>
      </c>
      <c r="M28" s="7" t="s">
        <v>970</v>
      </c>
      <c r="N28" s="7" t="s">
        <v>971</v>
      </c>
      <c r="O28" s="7" t="s">
        <v>972</v>
      </c>
      <c r="P28" s="7" t="s">
        <v>973</v>
      </c>
      <c r="Q28" s="7" t="s">
        <v>974</v>
      </c>
      <c r="R28" s="7" t="s">
        <v>975</v>
      </c>
      <c r="S28" s="7" t="s">
        <v>976</v>
      </c>
      <c r="T28" s="7" t="s">
        <v>977</v>
      </c>
      <c r="U28" s="7" t="s">
        <v>978</v>
      </c>
      <c r="V28" s="7" t="s">
        <v>290</v>
      </c>
      <c r="W28" s="7" t="s">
        <v>291</v>
      </c>
      <c r="X28" s="7" t="s">
        <v>979</v>
      </c>
      <c r="Y28" s="7" t="s">
        <v>980</v>
      </c>
      <c r="Z28" s="7" t="s">
        <v>981</v>
      </c>
      <c r="AA28" s="7" t="s">
        <v>255</v>
      </c>
      <c r="AB28" s="7" t="s">
        <v>323</v>
      </c>
      <c r="AC28" s="7" t="s">
        <v>257</v>
      </c>
      <c r="AD28" s="7" t="s">
        <v>982</v>
      </c>
      <c r="AE28" s="7" t="s">
        <v>983</v>
      </c>
      <c r="AF28" s="7" t="s">
        <v>325</v>
      </c>
      <c r="AG28" s="7" t="s">
        <v>984</v>
      </c>
      <c r="AH28" s="7" t="s">
        <v>262</v>
      </c>
      <c r="AI28" s="7" t="s">
        <v>265</v>
      </c>
      <c r="AJ28" s="7" t="s">
        <v>985</v>
      </c>
      <c r="AK28" s="7" t="s">
        <v>264</v>
      </c>
      <c r="AL28" s="7" t="s">
        <v>262</v>
      </c>
      <c r="AM28" s="7" t="s">
        <v>265</v>
      </c>
      <c r="AN28" s="7" t="s">
        <v>986</v>
      </c>
      <c r="AO28" s="7" t="s">
        <v>987</v>
      </c>
      <c r="AP28" s="7" t="s">
        <v>268</v>
      </c>
      <c r="AQ28" s="7" t="s">
        <v>988</v>
      </c>
      <c r="AR28" s="7" t="s">
        <v>270</v>
      </c>
      <c r="AS28" s="7" t="s">
        <v>989</v>
      </c>
      <c r="AT28" s="7" t="s">
        <v>305</v>
      </c>
      <c r="AU28" s="20" t="s">
        <v>270</v>
      </c>
      <c r="AV28" s="20" t="s">
        <v>990</v>
      </c>
      <c r="AW28" s="7" t="s">
        <v>991</v>
      </c>
      <c r="AX28" s="7" t="s">
        <v>415</v>
      </c>
    </row>
    <row r="29" spans="1:50" ht="17.25" customHeight="1">
      <c r="A29" s="7" t="s">
        <v>237</v>
      </c>
      <c r="B29" s="7">
        <v>28</v>
      </c>
      <c r="C29" s="7" t="s">
        <v>115</v>
      </c>
      <c r="D29" s="7" t="s">
        <v>116</v>
      </c>
      <c r="E29" s="7">
        <v>2015</v>
      </c>
      <c r="F29" s="7" t="s">
        <v>117</v>
      </c>
      <c r="G29" s="7" t="s">
        <v>47</v>
      </c>
      <c r="H29" s="7" t="s">
        <v>118</v>
      </c>
      <c r="I29" s="7">
        <v>20</v>
      </c>
      <c r="J29" s="7" t="s">
        <v>992</v>
      </c>
      <c r="K29" s="7" t="s">
        <v>993</v>
      </c>
      <c r="L29" s="7" t="s">
        <v>994</v>
      </c>
      <c r="M29" s="7" t="s">
        <v>619</v>
      </c>
      <c r="N29" s="7" t="s">
        <v>995</v>
      </c>
      <c r="O29" s="7" t="s">
        <v>996</v>
      </c>
      <c r="P29" s="7" t="s">
        <v>997</v>
      </c>
      <c r="Q29" s="7" t="s">
        <v>998</v>
      </c>
      <c r="R29" s="7" t="s">
        <v>317</v>
      </c>
      <c r="S29" s="7" t="s">
        <v>999</v>
      </c>
      <c r="T29" s="7" t="s">
        <v>1000</v>
      </c>
      <c r="U29" s="7" t="s">
        <v>1001</v>
      </c>
      <c r="V29" s="7" t="s">
        <v>290</v>
      </c>
      <c r="W29" s="7" t="s">
        <v>515</v>
      </c>
      <c r="X29" s="7" t="s">
        <v>252</v>
      </c>
      <c r="Y29" s="7" t="s">
        <v>1002</v>
      </c>
      <c r="Z29" s="7" t="s">
        <v>1003</v>
      </c>
      <c r="AA29" s="7" t="s">
        <v>255</v>
      </c>
      <c r="AB29" s="7" t="s">
        <v>938</v>
      </c>
      <c r="AC29" s="7" t="s">
        <v>257</v>
      </c>
      <c r="AD29" s="7" t="s">
        <v>1004</v>
      </c>
      <c r="AE29" s="7" t="s">
        <v>1005</v>
      </c>
      <c r="AF29" s="7" t="s">
        <v>1006</v>
      </c>
      <c r="AG29" s="7" t="s">
        <v>1007</v>
      </c>
      <c r="AH29" s="7" t="s">
        <v>262</v>
      </c>
      <c r="AI29" s="7" t="s">
        <v>262</v>
      </c>
      <c r="AJ29" s="19" t="s">
        <v>1008</v>
      </c>
      <c r="AK29" s="7" t="s">
        <v>264</v>
      </c>
      <c r="AL29" s="7" t="s">
        <v>385</v>
      </c>
      <c r="AM29" s="7"/>
      <c r="AN29" s="7" t="s">
        <v>386</v>
      </c>
      <c r="AO29" s="7" t="s">
        <v>1009</v>
      </c>
      <c r="AP29" s="7" t="s">
        <v>409</v>
      </c>
      <c r="AQ29" s="7" t="s">
        <v>1010</v>
      </c>
      <c r="AR29" s="7" t="s">
        <v>1011</v>
      </c>
      <c r="AS29" s="7" t="s">
        <v>1012</v>
      </c>
      <c r="AT29" s="7" t="s">
        <v>305</v>
      </c>
      <c r="AU29" s="20" t="s">
        <v>1013</v>
      </c>
      <c r="AV29" s="20" t="s">
        <v>1014</v>
      </c>
      <c r="AW29" s="7" t="s">
        <v>1015</v>
      </c>
      <c r="AX29" s="7" t="s">
        <v>415</v>
      </c>
    </row>
    <row r="30" spans="1:50" ht="16.5" customHeight="1">
      <c r="A30" s="7" t="s">
        <v>237</v>
      </c>
      <c r="B30" s="7">
        <v>29</v>
      </c>
      <c r="C30" s="7" t="s">
        <v>120</v>
      </c>
      <c r="D30" s="7" t="s">
        <v>121</v>
      </c>
      <c r="E30" s="7">
        <v>2012</v>
      </c>
      <c r="F30" s="7" t="s">
        <v>122</v>
      </c>
      <c r="G30" s="7" t="s">
        <v>47</v>
      </c>
      <c r="H30" s="7" t="s">
        <v>64</v>
      </c>
      <c r="I30" s="7" t="s">
        <v>123</v>
      </c>
      <c r="J30" s="7" t="s">
        <v>1016</v>
      </c>
      <c r="K30" s="7" t="s">
        <v>1017</v>
      </c>
      <c r="L30" s="7" t="s">
        <v>1018</v>
      </c>
      <c r="M30" s="7" t="s">
        <v>619</v>
      </c>
      <c r="N30" s="7" t="s">
        <v>1019</v>
      </c>
      <c r="O30" s="7" t="s">
        <v>1020</v>
      </c>
      <c r="P30" s="7" t="s">
        <v>1021</v>
      </c>
      <c r="Q30" s="7" t="s">
        <v>1022</v>
      </c>
      <c r="R30" s="7" t="s">
        <v>864</v>
      </c>
      <c r="S30" s="7" t="s">
        <v>1023</v>
      </c>
      <c r="T30" s="7" t="s">
        <v>1024</v>
      </c>
      <c r="U30" s="7" t="s">
        <v>1025</v>
      </c>
      <c r="V30" s="7" t="s">
        <v>290</v>
      </c>
      <c r="W30" s="7" t="s">
        <v>378</v>
      </c>
      <c r="X30" s="7" t="s">
        <v>377</v>
      </c>
      <c r="Y30" s="7"/>
      <c r="Z30" s="7" t="s">
        <v>378</v>
      </c>
      <c r="AA30" s="7" t="s">
        <v>255</v>
      </c>
      <c r="AB30" s="7" t="s">
        <v>1026</v>
      </c>
      <c r="AC30" s="7" t="s">
        <v>257</v>
      </c>
      <c r="AD30" s="7" t="s">
        <v>1027</v>
      </c>
      <c r="AE30" s="7" t="s">
        <v>351</v>
      </c>
      <c r="AF30" s="7" t="s">
        <v>386</v>
      </c>
      <c r="AG30" s="7" t="s">
        <v>1028</v>
      </c>
      <c r="AH30" s="7" t="s">
        <v>262</v>
      </c>
      <c r="AI30" s="7" t="s">
        <v>262</v>
      </c>
      <c r="AJ30" s="7" t="s">
        <v>1029</v>
      </c>
      <c r="AK30" s="7" t="s">
        <v>264</v>
      </c>
      <c r="AL30" s="7" t="s">
        <v>385</v>
      </c>
      <c r="AM30" s="7"/>
      <c r="AN30" s="7" t="s">
        <v>1030</v>
      </c>
      <c r="AO30" s="7" t="s">
        <v>1031</v>
      </c>
      <c r="AP30" s="7" t="s">
        <v>409</v>
      </c>
      <c r="AQ30" s="7" t="s">
        <v>270</v>
      </c>
      <c r="AR30" s="7" t="s">
        <v>270</v>
      </c>
      <c r="AS30" s="7" t="s">
        <v>1032</v>
      </c>
      <c r="AT30" s="7" t="s">
        <v>305</v>
      </c>
      <c r="AU30" s="20" t="s">
        <v>270</v>
      </c>
      <c r="AV30" s="20" t="s">
        <v>1033</v>
      </c>
      <c r="AW30" s="7" t="s">
        <v>270</v>
      </c>
      <c r="AX30" s="7" t="s">
        <v>351</v>
      </c>
    </row>
    <row r="31" spans="1:50" ht="18" customHeight="1">
      <c r="A31" s="7" t="s">
        <v>237</v>
      </c>
      <c r="B31" s="7">
        <v>30</v>
      </c>
      <c r="C31" s="7" t="s">
        <v>125</v>
      </c>
      <c r="D31" s="7" t="s">
        <v>126</v>
      </c>
      <c r="E31" s="7">
        <v>2018</v>
      </c>
      <c r="F31" s="7" t="s">
        <v>127</v>
      </c>
      <c r="G31" s="7" t="s">
        <v>47</v>
      </c>
      <c r="H31" s="7" t="s">
        <v>128</v>
      </c>
      <c r="I31" s="7">
        <v>24</v>
      </c>
      <c r="J31" s="7" t="s">
        <v>1034</v>
      </c>
      <c r="K31" s="7" t="s">
        <v>1035</v>
      </c>
      <c r="L31" s="7" t="s">
        <v>788</v>
      </c>
      <c r="M31" s="7" t="s">
        <v>1036</v>
      </c>
      <c r="N31" s="7" t="s">
        <v>1037</v>
      </c>
      <c r="O31" s="7" t="s">
        <v>1038</v>
      </c>
      <c r="P31" s="7" t="s">
        <v>1039</v>
      </c>
      <c r="Q31" s="7" t="s">
        <v>1040</v>
      </c>
      <c r="R31" s="7" t="s">
        <v>246</v>
      </c>
      <c r="S31" s="7" t="s">
        <v>1041</v>
      </c>
      <c r="T31" s="7" t="s">
        <v>1042</v>
      </c>
      <c r="U31" s="7" t="s">
        <v>1043</v>
      </c>
      <c r="V31" s="7" t="s">
        <v>290</v>
      </c>
      <c r="W31" s="7" t="s">
        <v>291</v>
      </c>
      <c r="X31" s="7" t="s">
        <v>321</v>
      </c>
      <c r="Y31" s="7" t="s">
        <v>1044</v>
      </c>
      <c r="Z31" s="7" t="s">
        <v>1045</v>
      </c>
      <c r="AA31" s="7" t="s">
        <v>255</v>
      </c>
      <c r="AB31" s="7" t="s">
        <v>323</v>
      </c>
      <c r="AC31" s="7" t="s">
        <v>257</v>
      </c>
      <c r="AD31" s="7" t="s">
        <v>1046</v>
      </c>
      <c r="AE31" s="7" t="s">
        <v>351</v>
      </c>
      <c r="AF31" s="7" t="s">
        <v>1047</v>
      </c>
      <c r="AG31" s="7" t="s">
        <v>1048</v>
      </c>
      <c r="AH31" s="7" t="s">
        <v>262</v>
      </c>
      <c r="AI31" s="7" t="s">
        <v>262</v>
      </c>
      <c r="AJ31" s="7" t="s">
        <v>1049</v>
      </c>
      <c r="AK31" s="7" t="s">
        <v>264</v>
      </c>
      <c r="AL31" s="7" t="s">
        <v>385</v>
      </c>
      <c r="AM31" s="7"/>
      <c r="AN31" s="7" t="s">
        <v>386</v>
      </c>
      <c r="AO31" s="7" t="s">
        <v>1050</v>
      </c>
      <c r="AP31" s="7" t="s">
        <v>268</v>
      </c>
      <c r="AQ31" s="7" t="s">
        <v>270</v>
      </c>
      <c r="AR31" s="7" t="s">
        <v>1051</v>
      </c>
      <c r="AS31" s="7" t="s">
        <v>1052</v>
      </c>
      <c r="AT31" s="7" t="s">
        <v>265</v>
      </c>
      <c r="AU31" s="20" t="s">
        <v>1053</v>
      </c>
      <c r="AV31" s="20" t="s">
        <v>1054</v>
      </c>
      <c r="AW31" s="7" t="s">
        <v>1055</v>
      </c>
      <c r="AX31" s="7" t="s">
        <v>268</v>
      </c>
    </row>
    <row r="32" spans="1:50" ht="16.5" customHeight="1">
      <c r="A32" s="7" t="s">
        <v>237</v>
      </c>
      <c r="B32" s="7">
        <v>31</v>
      </c>
      <c r="C32" s="7" t="s">
        <v>130</v>
      </c>
      <c r="D32" s="7" t="s">
        <v>131</v>
      </c>
      <c r="E32" s="7">
        <v>2021</v>
      </c>
      <c r="F32" s="7" t="s">
        <v>94</v>
      </c>
      <c r="G32" s="7" t="s">
        <v>47</v>
      </c>
      <c r="H32" s="7" t="s">
        <v>83</v>
      </c>
      <c r="I32" s="7">
        <v>2</v>
      </c>
      <c r="J32" s="7" t="s">
        <v>1056</v>
      </c>
      <c r="K32" s="7" t="s">
        <v>1057</v>
      </c>
      <c r="L32" s="7" t="s">
        <v>1058</v>
      </c>
      <c r="M32" s="7" t="s">
        <v>443</v>
      </c>
      <c r="N32" s="7" t="s">
        <v>662</v>
      </c>
      <c r="O32" s="7" t="s">
        <v>1059</v>
      </c>
      <c r="P32" s="7" t="s">
        <v>1060</v>
      </c>
      <c r="Q32" s="7" t="s">
        <v>1061</v>
      </c>
      <c r="R32" s="7" t="s">
        <v>317</v>
      </c>
      <c r="S32" s="7" t="s">
        <v>1062</v>
      </c>
      <c r="T32" s="7" t="s">
        <v>960</v>
      </c>
      <c r="U32" s="7" t="s">
        <v>1063</v>
      </c>
      <c r="V32" s="7" t="s">
        <v>290</v>
      </c>
      <c r="W32" s="7" t="s">
        <v>291</v>
      </c>
      <c r="X32" s="7" t="s">
        <v>321</v>
      </c>
      <c r="Y32" s="7" t="s">
        <v>1064</v>
      </c>
      <c r="Z32" s="7" t="s">
        <v>1065</v>
      </c>
      <c r="AA32" s="7" t="s">
        <v>255</v>
      </c>
      <c r="AB32" s="7" t="s">
        <v>1066</v>
      </c>
      <c r="AC32" s="7" t="s">
        <v>257</v>
      </c>
      <c r="AD32" s="7" t="s">
        <v>1067</v>
      </c>
      <c r="AE32" s="7" t="s">
        <v>351</v>
      </c>
      <c r="AF32" s="7" t="s">
        <v>1068</v>
      </c>
      <c r="AG32" s="7" t="s">
        <v>1069</v>
      </c>
      <c r="AH32" s="7" t="s">
        <v>1070</v>
      </c>
      <c r="AI32" s="7" t="s">
        <v>262</v>
      </c>
      <c r="AJ32" s="7" t="s">
        <v>1071</v>
      </c>
      <c r="AK32" s="7" t="s">
        <v>736</v>
      </c>
      <c r="AL32" s="7" t="s">
        <v>262</v>
      </c>
      <c r="AM32" s="7" t="s">
        <v>262</v>
      </c>
      <c r="AN32" s="7"/>
      <c r="AO32" s="7" t="s">
        <v>1072</v>
      </c>
      <c r="AP32" s="7" t="s">
        <v>268</v>
      </c>
      <c r="AQ32" s="7" t="s">
        <v>1073</v>
      </c>
      <c r="AR32" s="7" t="s">
        <v>1074</v>
      </c>
      <c r="AS32" s="7" t="s">
        <v>1075</v>
      </c>
      <c r="AT32" s="7" t="s">
        <v>305</v>
      </c>
      <c r="AU32" s="20" t="s">
        <v>270</v>
      </c>
      <c r="AV32" s="20" t="s">
        <v>1076</v>
      </c>
      <c r="AW32" s="7" t="s">
        <v>1077</v>
      </c>
      <c r="AX32" s="7" t="s">
        <v>268</v>
      </c>
    </row>
    <row r="33" spans="1:50" ht="18.75" customHeight="1">
      <c r="A33" s="7" t="s">
        <v>237</v>
      </c>
      <c r="B33" s="7">
        <v>32</v>
      </c>
      <c r="C33" s="7" t="s">
        <v>133</v>
      </c>
      <c r="D33" s="7" t="s">
        <v>134</v>
      </c>
      <c r="E33" s="7">
        <v>2021</v>
      </c>
      <c r="F33" s="7" t="s">
        <v>135</v>
      </c>
      <c r="G33" s="7" t="s">
        <v>12</v>
      </c>
      <c r="H33" s="7" t="s">
        <v>83</v>
      </c>
      <c r="I33" s="7">
        <v>13</v>
      </c>
      <c r="J33" s="7" t="s">
        <v>1078</v>
      </c>
      <c r="K33" s="7" t="s">
        <v>1079</v>
      </c>
      <c r="L33" s="7" t="s">
        <v>366</v>
      </c>
      <c r="M33" s="7" t="s">
        <v>1080</v>
      </c>
      <c r="N33" s="7" t="s">
        <v>1081</v>
      </c>
      <c r="O33" s="7" t="s">
        <v>1082</v>
      </c>
      <c r="P33" s="7" t="s">
        <v>1083</v>
      </c>
      <c r="Q33" s="7" t="s">
        <v>1084</v>
      </c>
      <c r="R33" s="7" t="s">
        <v>246</v>
      </c>
      <c r="S33" s="7" t="s">
        <v>1085</v>
      </c>
      <c r="T33" s="7" t="s">
        <v>1086</v>
      </c>
      <c r="U33" s="7" t="s">
        <v>1087</v>
      </c>
      <c r="V33" s="7" t="s">
        <v>290</v>
      </c>
      <c r="W33" s="7" t="s">
        <v>291</v>
      </c>
      <c r="X33" s="7" t="s">
        <v>321</v>
      </c>
      <c r="Y33" s="7" t="s">
        <v>1088</v>
      </c>
      <c r="Z33" s="7" t="s">
        <v>293</v>
      </c>
      <c r="AA33" s="7" t="s">
        <v>255</v>
      </c>
      <c r="AB33" s="7" t="s">
        <v>323</v>
      </c>
      <c r="AC33" s="7" t="s">
        <v>257</v>
      </c>
      <c r="AD33" s="7" t="s">
        <v>1089</v>
      </c>
      <c r="AE33" s="7" t="s">
        <v>1090</v>
      </c>
      <c r="AF33" s="7" t="s">
        <v>325</v>
      </c>
      <c r="AG33" s="7" t="s">
        <v>1091</v>
      </c>
      <c r="AH33" s="7" t="s">
        <v>262</v>
      </c>
      <c r="AI33" s="7" t="s">
        <v>262</v>
      </c>
      <c r="AJ33" s="7" t="s">
        <v>1092</v>
      </c>
      <c r="AK33" s="7"/>
      <c r="AL33" s="7" t="s">
        <v>265</v>
      </c>
      <c r="AM33" s="7" t="s">
        <v>262</v>
      </c>
      <c r="AN33" s="7" t="s">
        <v>386</v>
      </c>
      <c r="AO33" s="7" t="s">
        <v>1093</v>
      </c>
      <c r="AP33" s="7" t="s">
        <v>409</v>
      </c>
      <c r="AQ33" s="7" t="s">
        <v>386</v>
      </c>
      <c r="AR33" s="7" t="s">
        <v>386</v>
      </c>
      <c r="AS33" s="7" t="s">
        <v>1094</v>
      </c>
      <c r="AT33" s="7" t="s">
        <v>305</v>
      </c>
      <c r="AU33" s="20" t="s">
        <v>1095</v>
      </c>
      <c r="AV33" s="20" t="s">
        <v>1096</v>
      </c>
      <c r="AW33" s="7" t="s">
        <v>1097</v>
      </c>
      <c r="AX33" s="7" t="s">
        <v>415</v>
      </c>
    </row>
    <row r="34" spans="1:50" ht="17.25" customHeight="1">
      <c r="A34" s="7" t="s">
        <v>237</v>
      </c>
      <c r="B34" s="7">
        <v>33</v>
      </c>
      <c r="C34" s="7" t="s">
        <v>137</v>
      </c>
      <c r="D34" s="7" t="s">
        <v>138</v>
      </c>
      <c r="E34" s="7">
        <v>2021</v>
      </c>
      <c r="F34" s="7" t="s">
        <v>139</v>
      </c>
      <c r="G34" s="7" t="s">
        <v>47</v>
      </c>
      <c r="H34" s="7" t="s">
        <v>13</v>
      </c>
      <c r="I34" s="7">
        <v>2</v>
      </c>
      <c r="J34" s="7" t="s">
        <v>1098</v>
      </c>
      <c r="K34" s="7" t="s">
        <v>1099</v>
      </c>
      <c r="L34" s="7" t="s">
        <v>366</v>
      </c>
      <c r="M34" s="7" t="s">
        <v>1100</v>
      </c>
      <c r="N34" s="7" t="s">
        <v>1101</v>
      </c>
      <c r="O34" s="7" t="s">
        <v>1102</v>
      </c>
      <c r="P34" s="7" t="s">
        <v>1103</v>
      </c>
      <c r="Q34" s="7" t="s">
        <v>1104</v>
      </c>
      <c r="R34" s="7" t="s">
        <v>246</v>
      </c>
      <c r="S34" s="7" t="s">
        <v>1105</v>
      </c>
      <c r="T34" s="7" t="s">
        <v>1106</v>
      </c>
      <c r="U34" s="7" t="s">
        <v>1107</v>
      </c>
      <c r="V34" s="7" t="s">
        <v>290</v>
      </c>
      <c r="W34" s="7" t="s">
        <v>378</v>
      </c>
      <c r="X34" s="7" t="s">
        <v>377</v>
      </c>
      <c r="Y34" s="7" t="s">
        <v>378</v>
      </c>
      <c r="Z34" s="7" t="s">
        <v>378</v>
      </c>
      <c r="AA34" s="7" t="s">
        <v>255</v>
      </c>
      <c r="AB34" s="7" t="s">
        <v>1108</v>
      </c>
      <c r="AC34" s="7" t="s">
        <v>257</v>
      </c>
      <c r="AD34" s="7" t="s">
        <v>1109</v>
      </c>
      <c r="AE34" s="7" t="s">
        <v>259</v>
      </c>
      <c r="AF34" s="7" t="s">
        <v>386</v>
      </c>
      <c r="AG34" s="7" t="s">
        <v>1110</v>
      </c>
      <c r="AH34" s="7" t="s">
        <v>1111</v>
      </c>
      <c r="AI34" s="7" t="s">
        <v>262</v>
      </c>
      <c r="AJ34" s="7" t="s">
        <v>1112</v>
      </c>
      <c r="AK34" s="7" t="s">
        <v>736</v>
      </c>
      <c r="AL34" s="7" t="s">
        <v>262</v>
      </c>
      <c r="AM34" s="7" t="s">
        <v>262</v>
      </c>
      <c r="AN34" s="7" t="s">
        <v>1113</v>
      </c>
      <c r="AO34" s="7" t="s">
        <v>1114</v>
      </c>
      <c r="AP34" s="7" t="s">
        <v>268</v>
      </c>
      <c r="AQ34" s="7" t="s">
        <v>270</v>
      </c>
      <c r="AR34" s="7" t="s">
        <v>1115</v>
      </c>
      <c r="AS34" s="7" t="s">
        <v>1116</v>
      </c>
      <c r="AT34" s="7" t="s">
        <v>265</v>
      </c>
      <c r="AU34" s="20" t="s">
        <v>270</v>
      </c>
      <c r="AV34" s="20" t="s">
        <v>1117</v>
      </c>
      <c r="AW34" s="7" t="s">
        <v>1118</v>
      </c>
      <c r="AX34" s="7" t="s">
        <v>268</v>
      </c>
    </row>
    <row r="35" spans="1:50" ht="17.25" customHeight="1">
      <c r="A35" s="7" t="s">
        <v>237</v>
      </c>
      <c r="B35" s="7">
        <v>34</v>
      </c>
      <c r="C35" s="7" t="s">
        <v>141</v>
      </c>
      <c r="D35" s="7" t="s">
        <v>142</v>
      </c>
      <c r="E35" s="7">
        <v>2019</v>
      </c>
      <c r="F35" s="7" t="s">
        <v>143</v>
      </c>
      <c r="G35" s="7" t="s">
        <v>47</v>
      </c>
      <c r="H35" s="7" t="s">
        <v>128</v>
      </c>
      <c r="I35" s="7">
        <v>7</v>
      </c>
      <c r="J35" s="7" t="s">
        <v>1119</v>
      </c>
      <c r="K35" s="7" t="s">
        <v>1120</v>
      </c>
      <c r="L35" s="7" t="s">
        <v>1121</v>
      </c>
      <c r="M35" s="7" t="s">
        <v>1122</v>
      </c>
      <c r="N35" s="7" t="s">
        <v>1123</v>
      </c>
      <c r="O35" s="7" t="s">
        <v>1124</v>
      </c>
      <c r="P35" s="7" t="s">
        <v>1125</v>
      </c>
      <c r="Q35" s="7" t="s">
        <v>1126</v>
      </c>
      <c r="R35" s="7" t="s">
        <v>246</v>
      </c>
      <c r="S35" s="7" t="s">
        <v>1127</v>
      </c>
      <c r="T35" s="7" t="s">
        <v>1128</v>
      </c>
      <c r="U35" s="7" t="s">
        <v>1129</v>
      </c>
      <c r="V35" s="7" t="s">
        <v>290</v>
      </c>
      <c r="W35" s="7" t="s">
        <v>378</v>
      </c>
      <c r="X35" s="7" t="s">
        <v>321</v>
      </c>
      <c r="Y35" s="7" t="s">
        <v>1130</v>
      </c>
      <c r="Z35" s="7" t="s">
        <v>1131</v>
      </c>
      <c r="AA35" s="7" t="s">
        <v>255</v>
      </c>
      <c r="AB35" s="7" t="s">
        <v>1132</v>
      </c>
      <c r="AC35" s="7" t="s">
        <v>257</v>
      </c>
      <c r="AD35" s="7" t="s">
        <v>1133</v>
      </c>
      <c r="AE35" s="7" t="s">
        <v>1134</v>
      </c>
      <c r="AF35" s="7" t="s">
        <v>1135</v>
      </c>
      <c r="AG35" s="7" t="s">
        <v>1136</v>
      </c>
      <c r="AH35" s="7" t="s">
        <v>262</v>
      </c>
      <c r="AI35" s="7" t="s">
        <v>262</v>
      </c>
      <c r="AJ35" s="7" t="s">
        <v>1137</v>
      </c>
      <c r="AK35" s="7" t="s">
        <v>264</v>
      </c>
      <c r="AL35" s="7" t="s">
        <v>265</v>
      </c>
      <c r="AM35" s="7" t="s">
        <v>265</v>
      </c>
      <c r="AN35" s="7" t="s">
        <v>1138</v>
      </c>
      <c r="AO35" s="7" t="s">
        <v>1139</v>
      </c>
      <c r="AP35" s="7" t="s">
        <v>268</v>
      </c>
      <c r="AQ35" s="7" t="s">
        <v>1140</v>
      </c>
      <c r="AR35" s="7" t="s">
        <v>270</v>
      </c>
      <c r="AS35" s="7" t="s">
        <v>1141</v>
      </c>
      <c r="AT35" s="7" t="s">
        <v>305</v>
      </c>
      <c r="AU35" s="20" t="s">
        <v>1142</v>
      </c>
      <c r="AV35" s="20" t="s">
        <v>1143</v>
      </c>
      <c r="AW35" s="7" t="s">
        <v>1144</v>
      </c>
      <c r="AX35" s="7" t="s">
        <v>415</v>
      </c>
    </row>
    <row r="36" spans="1:50" ht="19.5" customHeight="1">
      <c r="A36" s="7" t="s">
        <v>237</v>
      </c>
      <c r="B36" s="7">
        <v>35</v>
      </c>
      <c r="C36" s="7" t="s">
        <v>145</v>
      </c>
      <c r="D36" s="7" t="s">
        <v>146</v>
      </c>
      <c r="E36" s="7">
        <v>2020</v>
      </c>
      <c r="F36" s="7" t="s">
        <v>46</v>
      </c>
      <c r="G36" s="7" t="s">
        <v>47</v>
      </c>
      <c r="H36" s="7" t="s">
        <v>48</v>
      </c>
      <c r="I36" s="7">
        <v>16</v>
      </c>
      <c r="J36" s="7" t="s">
        <v>1145</v>
      </c>
      <c r="K36" s="7" t="s">
        <v>1146</v>
      </c>
      <c r="L36" s="7" t="s">
        <v>366</v>
      </c>
      <c r="M36" s="7" t="s">
        <v>619</v>
      </c>
      <c r="N36" s="7" t="s">
        <v>1081</v>
      </c>
      <c r="O36" s="7" t="s">
        <v>1147</v>
      </c>
      <c r="P36" s="7" t="s">
        <v>1148</v>
      </c>
      <c r="Q36" s="7" t="s">
        <v>1149</v>
      </c>
      <c r="R36" s="7" t="s">
        <v>246</v>
      </c>
      <c r="S36" s="7" t="s">
        <v>1150</v>
      </c>
      <c r="T36" s="7" t="s">
        <v>1151</v>
      </c>
      <c r="U36" s="7" t="s">
        <v>1152</v>
      </c>
      <c r="V36" s="7" t="s">
        <v>290</v>
      </c>
      <c r="W36" s="7" t="s">
        <v>515</v>
      </c>
      <c r="X36" s="7" t="s">
        <v>321</v>
      </c>
      <c r="Y36" s="7" t="s">
        <v>1153</v>
      </c>
      <c r="Z36" s="7" t="s">
        <v>1154</v>
      </c>
      <c r="AA36" s="7" t="s">
        <v>379</v>
      </c>
      <c r="AB36" s="7" t="s">
        <v>1155</v>
      </c>
      <c r="AC36" s="7" t="s">
        <v>257</v>
      </c>
      <c r="AD36" s="7" t="s">
        <v>1156</v>
      </c>
      <c r="AE36" s="7" t="s">
        <v>671</v>
      </c>
      <c r="AF36" s="7" t="s">
        <v>1157</v>
      </c>
      <c r="AG36" s="7" t="s">
        <v>1158</v>
      </c>
      <c r="AH36" s="7" t="s">
        <v>262</v>
      </c>
      <c r="AI36" s="7" t="s">
        <v>265</v>
      </c>
      <c r="AJ36" s="7" t="s">
        <v>1159</v>
      </c>
      <c r="AK36" s="7" t="s">
        <v>1160</v>
      </c>
      <c r="AL36" s="7" t="s">
        <v>265</v>
      </c>
      <c r="AM36" s="7" t="s">
        <v>265</v>
      </c>
      <c r="AN36" s="7" t="s">
        <v>1161</v>
      </c>
      <c r="AO36" s="7" t="s">
        <v>1162</v>
      </c>
      <c r="AP36" s="7" t="s">
        <v>268</v>
      </c>
      <c r="AQ36" s="7" t="s">
        <v>270</v>
      </c>
      <c r="AR36" s="7" t="s">
        <v>1163</v>
      </c>
      <c r="AS36" s="7" t="s">
        <v>1164</v>
      </c>
      <c r="AT36" s="7" t="s">
        <v>305</v>
      </c>
      <c r="AU36" s="20" t="s">
        <v>1165</v>
      </c>
      <c r="AV36" s="20" t="s">
        <v>1166</v>
      </c>
      <c r="AW36" s="7" t="s">
        <v>1167</v>
      </c>
      <c r="AX36" s="7" t="s">
        <v>268</v>
      </c>
    </row>
    <row r="37" spans="1:50" ht="19.5" customHeight="1">
      <c r="A37" s="7" t="s">
        <v>237</v>
      </c>
      <c r="B37" s="7">
        <v>36</v>
      </c>
      <c r="C37" s="7" t="s">
        <v>148</v>
      </c>
      <c r="D37" s="7" t="s">
        <v>149</v>
      </c>
      <c r="E37" s="7">
        <v>2016</v>
      </c>
      <c r="F37" s="7" t="s">
        <v>150</v>
      </c>
      <c r="G37" s="7" t="s">
        <v>12</v>
      </c>
      <c r="H37" s="7" t="s">
        <v>48</v>
      </c>
      <c r="I37" s="7">
        <v>4</v>
      </c>
      <c r="J37" s="7" t="s">
        <v>1168</v>
      </c>
      <c r="K37" s="7" t="s">
        <v>1169</v>
      </c>
      <c r="L37" s="7" t="s">
        <v>532</v>
      </c>
      <c r="M37" s="7" t="s">
        <v>312</v>
      </c>
      <c r="N37" s="7" t="s">
        <v>1170</v>
      </c>
      <c r="O37" s="7" t="s">
        <v>1171</v>
      </c>
      <c r="P37" s="7" t="s">
        <v>1172</v>
      </c>
      <c r="Q37" s="7" t="s">
        <v>1173</v>
      </c>
      <c r="R37" s="7" t="s">
        <v>246</v>
      </c>
      <c r="S37" s="7" t="s">
        <v>1174</v>
      </c>
      <c r="T37" s="7" t="s">
        <v>1175</v>
      </c>
      <c r="U37" s="7" t="s">
        <v>1176</v>
      </c>
      <c r="V37" s="7" t="s">
        <v>290</v>
      </c>
      <c r="W37" s="7" t="s">
        <v>515</v>
      </c>
      <c r="X37" s="7" t="s">
        <v>252</v>
      </c>
      <c r="Y37" s="7" t="s">
        <v>1177</v>
      </c>
      <c r="Z37" s="7" t="s">
        <v>1178</v>
      </c>
      <c r="AA37" s="7" t="s">
        <v>255</v>
      </c>
      <c r="AB37" s="7" t="s">
        <v>1179</v>
      </c>
      <c r="AC37" s="7" t="s">
        <v>257</v>
      </c>
      <c r="AD37" s="7" t="s">
        <v>1180</v>
      </c>
      <c r="AE37" s="7" t="s">
        <v>1181</v>
      </c>
      <c r="AF37" s="7" t="s">
        <v>1182</v>
      </c>
      <c r="AG37" s="7" t="s">
        <v>1183</v>
      </c>
      <c r="AH37" s="7" t="s">
        <v>262</v>
      </c>
      <c r="AI37" s="7" t="s">
        <v>262</v>
      </c>
      <c r="AJ37" s="7" t="s">
        <v>328</v>
      </c>
      <c r="AK37" s="7" t="s">
        <v>264</v>
      </c>
      <c r="AL37" s="7" t="s">
        <v>385</v>
      </c>
      <c r="AM37" s="7"/>
      <c r="AN37" s="7" t="s">
        <v>1184</v>
      </c>
      <c r="AO37" s="7" t="s">
        <v>1185</v>
      </c>
      <c r="AP37" s="7" t="s">
        <v>268</v>
      </c>
      <c r="AQ37" s="7" t="s">
        <v>270</v>
      </c>
      <c r="AR37" s="7" t="s">
        <v>270</v>
      </c>
      <c r="AS37" s="7" t="s">
        <v>1186</v>
      </c>
      <c r="AT37" s="7" t="s">
        <v>305</v>
      </c>
      <c r="AU37" s="20" t="s">
        <v>1187</v>
      </c>
      <c r="AV37" s="20" t="s">
        <v>1188</v>
      </c>
      <c r="AW37" s="7" t="s">
        <v>1189</v>
      </c>
      <c r="AX37" s="7" t="s">
        <v>415</v>
      </c>
    </row>
    <row r="38" spans="1:50" ht="18.75" customHeight="1">
      <c r="A38" s="7" t="s">
        <v>237</v>
      </c>
      <c r="B38" s="7">
        <v>37</v>
      </c>
      <c r="C38" s="7" t="s">
        <v>152</v>
      </c>
      <c r="D38" s="7" t="s">
        <v>153</v>
      </c>
      <c r="E38" s="7">
        <v>2022</v>
      </c>
      <c r="F38" s="7" t="s">
        <v>154</v>
      </c>
      <c r="G38" s="7" t="s">
        <v>12</v>
      </c>
      <c r="H38" s="7" t="s">
        <v>48</v>
      </c>
      <c r="I38" s="7">
        <v>1</v>
      </c>
      <c r="J38" s="7" t="s">
        <v>1190</v>
      </c>
      <c r="K38" s="7" t="s">
        <v>1191</v>
      </c>
      <c r="L38" s="7" t="s">
        <v>366</v>
      </c>
      <c r="M38" s="7" t="s">
        <v>1192</v>
      </c>
      <c r="N38" s="7" t="s">
        <v>313</v>
      </c>
      <c r="O38" s="7" t="s">
        <v>1193</v>
      </c>
      <c r="P38" s="7" t="s">
        <v>1194</v>
      </c>
      <c r="Q38" s="7" t="s">
        <v>1195</v>
      </c>
      <c r="R38" s="7" t="s">
        <v>246</v>
      </c>
      <c r="S38" s="7" t="s">
        <v>1196</v>
      </c>
      <c r="T38" s="7" t="s">
        <v>1197</v>
      </c>
      <c r="U38" s="7" t="s">
        <v>1198</v>
      </c>
      <c r="V38" s="7" t="s">
        <v>290</v>
      </c>
      <c r="W38" s="7" t="s">
        <v>291</v>
      </c>
      <c r="X38" s="7" t="s">
        <v>321</v>
      </c>
      <c r="Y38" s="7" t="s">
        <v>1199</v>
      </c>
      <c r="Z38" s="7" t="s">
        <v>1200</v>
      </c>
      <c r="AA38" s="7" t="s">
        <v>255</v>
      </c>
      <c r="AB38" s="7" t="s">
        <v>1201</v>
      </c>
      <c r="AC38" s="7" t="s">
        <v>257</v>
      </c>
      <c r="AD38" s="7" t="s">
        <v>1202</v>
      </c>
      <c r="AE38" s="7" t="s">
        <v>671</v>
      </c>
      <c r="AF38" s="7" t="s">
        <v>1203</v>
      </c>
      <c r="AG38" s="7" t="s">
        <v>1204</v>
      </c>
      <c r="AH38" s="7" t="s">
        <v>262</v>
      </c>
      <c r="AI38" s="7" t="s">
        <v>262</v>
      </c>
      <c r="AJ38" s="7" t="s">
        <v>432</v>
      </c>
      <c r="AK38" s="7" t="s">
        <v>264</v>
      </c>
      <c r="AL38" s="7" t="s">
        <v>385</v>
      </c>
      <c r="AM38" s="7"/>
      <c r="AN38" s="7" t="s">
        <v>1205</v>
      </c>
      <c r="AO38" s="7" t="s">
        <v>1206</v>
      </c>
      <c r="AP38" s="7" t="s">
        <v>268</v>
      </c>
      <c r="AQ38" s="7" t="s">
        <v>1207</v>
      </c>
      <c r="AR38" s="7" t="s">
        <v>1208</v>
      </c>
      <c r="AS38" s="7" t="s">
        <v>1209</v>
      </c>
      <c r="AT38" s="7" t="s">
        <v>265</v>
      </c>
      <c r="AU38" s="20" t="s">
        <v>270</v>
      </c>
      <c r="AV38" s="20" t="s">
        <v>1210</v>
      </c>
      <c r="AW38" s="7" t="s">
        <v>1211</v>
      </c>
      <c r="AX38" s="7" t="s">
        <v>415</v>
      </c>
    </row>
    <row r="39" spans="1:50" ht="18" customHeight="1">
      <c r="A39" s="7" t="s">
        <v>237</v>
      </c>
      <c r="B39" s="7">
        <v>38</v>
      </c>
      <c r="C39" s="7" t="s">
        <v>156</v>
      </c>
      <c r="D39" s="7" t="s">
        <v>157</v>
      </c>
      <c r="E39" s="7">
        <v>2022</v>
      </c>
      <c r="F39" s="7" t="s">
        <v>158</v>
      </c>
      <c r="G39" s="7" t="s">
        <v>12</v>
      </c>
      <c r="H39" s="7" t="s">
        <v>48</v>
      </c>
      <c r="I39" s="7">
        <v>5</v>
      </c>
      <c r="J39" s="7" t="s">
        <v>1212</v>
      </c>
      <c r="K39" s="7" t="s">
        <v>1213</v>
      </c>
      <c r="L39" s="7" t="s">
        <v>366</v>
      </c>
      <c r="M39" s="7" t="s">
        <v>1214</v>
      </c>
      <c r="N39" s="7" t="s">
        <v>1215</v>
      </c>
      <c r="O39" s="7" t="s">
        <v>1216</v>
      </c>
      <c r="P39" s="7" t="s">
        <v>1217</v>
      </c>
      <c r="Q39" s="7" t="s">
        <v>1218</v>
      </c>
      <c r="R39" s="7" t="s">
        <v>246</v>
      </c>
      <c r="S39" s="7" t="s">
        <v>1219</v>
      </c>
      <c r="T39" s="7" t="s">
        <v>1220</v>
      </c>
      <c r="U39" s="7" t="s">
        <v>1221</v>
      </c>
      <c r="V39" s="7" t="s">
        <v>514</v>
      </c>
      <c r="W39" s="7" t="s">
        <v>378</v>
      </c>
      <c r="X39" s="7" t="s">
        <v>321</v>
      </c>
      <c r="Y39" s="7" t="s">
        <v>1222</v>
      </c>
      <c r="Z39" s="7" t="s">
        <v>1223</v>
      </c>
      <c r="AA39" s="7" t="s">
        <v>255</v>
      </c>
      <c r="AB39" s="7" t="s">
        <v>1224</v>
      </c>
      <c r="AC39" s="7" t="s">
        <v>257</v>
      </c>
      <c r="AD39" s="7" t="s">
        <v>1225</v>
      </c>
      <c r="AE39" s="7" t="s">
        <v>671</v>
      </c>
      <c r="AF39" s="7" t="s">
        <v>1226</v>
      </c>
      <c r="AG39" s="7" t="s">
        <v>1227</v>
      </c>
      <c r="AH39" s="7" t="s">
        <v>262</v>
      </c>
      <c r="AI39" s="7" t="s">
        <v>262</v>
      </c>
      <c r="AJ39" s="7" t="s">
        <v>1228</v>
      </c>
      <c r="AK39" s="7" t="s">
        <v>264</v>
      </c>
      <c r="AL39" s="7" t="s">
        <v>385</v>
      </c>
      <c r="AM39" s="7"/>
      <c r="AN39" s="7" t="s">
        <v>1229</v>
      </c>
      <c r="AO39" s="7" t="s">
        <v>1230</v>
      </c>
      <c r="AP39" s="7" t="s">
        <v>268</v>
      </c>
      <c r="AQ39" s="7" t="s">
        <v>1231</v>
      </c>
      <c r="AR39" s="7" t="s">
        <v>1232</v>
      </c>
      <c r="AS39" s="7" t="s">
        <v>1233</v>
      </c>
      <c r="AT39" s="7" t="s">
        <v>305</v>
      </c>
      <c r="AU39" s="20" t="s">
        <v>325</v>
      </c>
      <c r="AV39" s="20" t="s">
        <v>1234</v>
      </c>
      <c r="AW39" s="7" t="s">
        <v>1235</v>
      </c>
      <c r="AX39" s="7" t="s">
        <v>351</v>
      </c>
    </row>
    <row r="40" spans="1:50" ht="18" customHeight="1">
      <c r="A40" s="7" t="s">
        <v>237</v>
      </c>
      <c r="B40" s="7">
        <v>39</v>
      </c>
      <c r="C40" s="7" t="s">
        <v>160</v>
      </c>
      <c r="D40" s="7" t="s">
        <v>161</v>
      </c>
      <c r="E40" s="7">
        <v>2023</v>
      </c>
      <c r="F40" s="7" t="s">
        <v>162</v>
      </c>
      <c r="G40" s="7" t="s">
        <v>47</v>
      </c>
      <c r="H40" s="7" t="s">
        <v>48</v>
      </c>
      <c r="I40" s="7">
        <v>0</v>
      </c>
      <c r="J40" s="7" t="s">
        <v>1236</v>
      </c>
      <c r="K40" s="7" t="s">
        <v>1237</v>
      </c>
      <c r="L40" s="7" t="s">
        <v>532</v>
      </c>
      <c r="M40" s="7" t="s">
        <v>619</v>
      </c>
      <c r="N40" s="7" t="s">
        <v>1238</v>
      </c>
      <c r="O40" s="7" t="s">
        <v>1239</v>
      </c>
      <c r="P40" s="7" t="s">
        <v>1240</v>
      </c>
      <c r="Q40" s="7" t="s">
        <v>1241</v>
      </c>
      <c r="R40" s="7" t="s">
        <v>317</v>
      </c>
      <c r="S40" s="7" t="s">
        <v>1242</v>
      </c>
      <c r="T40" s="7" t="s">
        <v>1243</v>
      </c>
      <c r="U40" s="7" t="s">
        <v>1244</v>
      </c>
      <c r="V40" s="7" t="s">
        <v>290</v>
      </c>
      <c r="W40" s="7" t="s">
        <v>515</v>
      </c>
      <c r="X40" s="7" t="s">
        <v>321</v>
      </c>
      <c r="Y40" s="7" t="s">
        <v>1245</v>
      </c>
      <c r="Z40" s="7" t="s">
        <v>293</v>
      </c>
      <c r="AA40" s="7" t="s">
        <v>379</v>
      </c>
      <c r="AB40" s="7" t="s">
        <v>1246</v>
      </c>
      <c r="AC40" s="7" t="s">
        <v>257</v>
      </c>
      <c r="AD40" s="7" t="s">
        <v>1247</v>
      </c>
      <c r="AE40" s="7" t="s">
        <v>1248</v>
      </c>
      <c r="AF40" s="7" t="s">
        <v>325</v>
      </c>
      <c r="AG40" s="7" t="s">
        <v>1249</v>
      </c>
      <c r="AH40" s="7" t="s">
        <v>262</v>
      </c>
      <c r="AI40" s="7" t="s">
        <v>262</v>
      </c>
      <c r="AJ40" s="7" t="s">
        <v>328</v>
      </c>
      <c r="AK40" s="7" t="s">
        <v>264</v>
      </c>
      <c r="AL40" s="7" t="s">
        <v>265</v>
      </c>
      <c r="AM40" s="7" t="s">
        <v>265</v>
      </c>
      <c r="AN40" s="7" t="s">
        <v>1250</v>
      </c>
      <c r="AO40" s="7" t="s">
        <v>1251</v>
      </c>
      <c r="AP40" s="7" t="s">
        <v>268</v>
      </c>
      <c r="AQ40" s="7" t="s">
        <v>1252</v>
      </c>
      <c r="AR40" s="7" t="s">
        <v>270</v>
      </c>
      <c r="AS40" s="7" t="s">
        <v>1253</v>
      </c>
      <c r="AT40" s="7" t="s">
        <v>262</v>
      </c>
      <c r="AU40" s="20" t="s">
        <v>1254</v>
      </c>
      <c r="AV40" s="20" t="s">
        <v>1255</v>
      </c>
      <c r="AW40" s="7" t="s">
        <v>1256</v>
      </c>
      <c r="AX40" s="7" t="s">
        <v>268</v>
      </c>
    </row>
    <row r="41" spans="1:50" ht="17.25" customHeight="1">
      <c r="A41" s="7" t="s">
        <v>237</v>
      </c>
      <c r="B41" s="7">
        <v>40</v>
      </c>
      <c r="C41" s="7" t="s">
        <v>164</v>
      </c>
      <c r="D41" s="7" t="s">
        <v>165</v>
      </c>
      <c r="E41" s="7">
        <v>2019</v>
      </c>
      <c r="F41" s="7" t="s">
        <v>166</v>
      </c>
      <c r="G41" s="7" t="s">
        <v>167</v>
      </c>
      <c r="H41" s="7" t="s">
        <v>48</v>
      </c>
      <c r="I41" s="7">
        <v>1</v>
      </c>
      <c r="J41" s="7" t="s">
        <v>1257</v>
      </c>
      <c r="K41" s="7" t="s">
        <v>1258</v>
      </c>
      <c r="L41" s="7" t="s">
        <v>788</v>
      </c>
      <c r="M41" s="7" t="s">
        <v>1259</v>
      </c>
      <c r="N41" s="7" t="s">
        <v>1260</v>
      </c>
      <c r="O41" s="7" t="s">
        <v>1261</v>
      </c>
      <c r="P41" s="7" t="s">
        <v>1400</v>
      </c>
      <c r="Q41" s="7" t="s">
        <v>1263</v>
      </c>
      <c r="R41" s="7" t="s">
        <v>317</v>
      </c>
      <c r="S41" s="7" t="s">
        <v>1264</v>
      </c>
      <c r="T41" s="7" t="s">
        <v>1265</v>
      </c>
      <c r="U41" s="7" t="s">
        <v>1266</v>
      </c>
      <c r="V41" s="7" t="s">
        <v>290</v>
      </c>
      <c r="W41" s="7" t="s">
        <v>378</v>
      </c>
      <c r="X41" s="7" t="s">
        <v>377</v>
      </c>
      <c r="Y41" s="7" t="s">
        <v>1267</v>
      </c>
      <c r="Z41" s="7" t="s">
        <v>378</v>
      </c>
      <c r="AA41" s="7" t="s">
        <v>255</v>
      </c>
      <c r="AB41" s="7" t="s">
        <v>1072</v>
      </c>
      <c r="AC41" s="7" t="s">
        <v>257</v>
      </c>
      <c r="AD41" s="7" t="s">
        <v>1268</v>
      </c>
      <c r="AE41" s="7" t="s">
        <v>351</v>
      </c>
      <c r="AF41" s="7" t="s">
        <v>1269</v>
      </c>
      <c r="AG41" s="7" t="s">
        <v>1270</v>
      </c>
      <c r="AH41" s="7" t="s">
        <v>262</v>
      </c>
      <c r="AI41" s="7" t="s">
        <v>262</v>
      </c>
      <c r="AJ41" s="7" t="s">
        <v>1271</v>
      </c>
      <c r="AK41" s="7" t="s">
        <v>264</v>
      </c>
      <c r="AL41" s="7" t="s">
        <v>385</v>
      </c>
      <c r="AM41" s="7"/>
      <c r="AN41" s="7" t="s">
        <v>386</v>
      </c>
      <c r="AO41" s="7" t="s">
        <v>325</v>
      </c>
      <c r="AP41" s="7" t="s">
        <v>268</v>
      </c>
      <c r="AQ41" s="7" t="s">
        <v>270</v>
      </c>
      <c r="AR41" s="7" t="s">
        <v>1272</v>
      </c>
      <c r="AS41" s="7" t="s">
        <v>1273</v>
      </c>
      <c r="AT41" s="7" t="s">
        <v>305</v>
      </c>
      <c r="AU41" s="20" t="s">
        <v>270</v>
      </c>
      <c r="AV41" s="20" t="s">
        <v>1274</v>
      </c>
      <c r="AW41" s="7" t="s">
        <v>1275</v>
      </c>
      <c r="AX41" s="7" t="s">
        <v>351</v>
      </c>
    </row>
    <row r="42" spans="1:50" ht="19.5" customHeight="1">
      <c r="A42" s="7" t="s">
        <v>237</v>
      </c>
      <c r="B42" s="7">
        <v>41</v>
      </c>
      <c r="C42" s="7" t="s">
        <v>169</v>
      </c>
      <c r="D42" s="7" t="s">
        <v>170</v>
      </c>
      <c r="E42" s="7">
        <v>2008</v>
      </c>
      <c r="F42" s="7" t="s">
        <v>171</v>
      </c>
      <c r="G42" s="7" t="s">
        <v>12</v>
      </c>
      <c r="H42" s="7" t="s">
        <v>48</v>
      </c>
      <c r="I42" s="7">
        <v>298</v>
      </c>
      <c r="J42" s="7" t="s">
        <v>1276</v>
      </c>
      <c r="K42" s="7" t="s">
        <v>1277</v>
      </c>
      <c r="L42" s="7" t="s">
        <v>366</v>
      </c>
      <c r="M42" s="7" t="s">
        <v>1278</v>
      </c>
      <c r="N42" s="7" t="s">
        <v>313</v>
      </c>
      <c r="O42" s="7" t="s">
        <v>620</v>
      </c>
      <c r="P42" s="7" t="s">
        <v>1279</v>
      </c>
      <c r="Q42" s="7" t="s">
        <v>1280</v>
      </c>
      <c r="R42" s="7" t="s">
        <v>317</v>
      </c>
      <c r="S42" s="7" t="s">
        <v>1281</v>
      </c>
      <c r="T42" s="7" t="s">
        <v>1282</v>
      </c>
      <c r="U42" s="7" t="s">
        <v>1283</v>
      </c>
      <c r="V42" s="7" t="s">
        <v>290</v>
      </c>
      <c r="W42" s="7" t="s">
        <v>291</v>
      </c>
      <c r="X42" s="7" t="s">
        <v>252</v>
      </c>
      <c r="Y42" s="7" t="s">
        <v>1284</v>
      </c>
      <c r="Z42" s="7" t="s">
        <v>1285</v>
      </c>
      <c r="AA42" s="7" t="s">
        <v>255</v>
      </c>
      <c r="AB42" s="7" t="s">
        <v>1286</v>
      </c>
      <c r="AC42" s="7" t="s">
        <v>257</v>
      </c>
      <c r="AD42" s="7" t="s">
        <v>1287</v>
      </c>
      <c r="AE42" s="7" t="s">
        <v>351</v>
      </c>
      <c r="AF42" s="7" t="s">
        <v>325</v>
      </c>
      <c r="AG42" s="7" t="s">
        <v>1288</v>
      </c>
      <c r="AH42" s="7" t="s">
        <v>262</v>
      </c>
      <c r="AI42" s="7" t="s">
        <v>262</v>
      </c>
      <c r="AJ42" s="7" t="s">
        <v>942</v>
      </c>
      <c r="AK42" s="7" t="s">
        <v>264</v>
      </c>
      <c r="AL42" s="7" t="s">
        <v>385</v>
      </c>
      <c r="AM42" s="7"/>
      <c r="AN42" s="7" t="s">
        <v>325</v>
      </c>
      <c r="AO42" s="7" t="s">
        <v>325</v>
      </c>
      <c r="AP42" s="7" t="s">
        <v>268</v>
      </c>
      <c r="AQ42" s="7" t="s">
        <v>1289</v>
      </c>
      <c r="AR42" s="7" t="s">
        <v>1290</v>
      </c>
      <c r="AS42" s="7" t="s">
        <v>1291</v>
      </c>
      <c r="AT42" s="7" t="s">
        <v>265</v>
      </c>
      <c r="AU42" s="20" t="s">
        <v>270</v>
      </c>
      <c r="AV42" s="20" t="s">
        <v>1292</v>
      </c>
      <c r="AW42" s="7" t="s">
        <v>270</v>
      </c>
      <c r="AX42" s="7" t="s">
        <v>415</v>
      </c>
    </row>
    <row r="43" spans="1:50" ht="18.75" customHeight="1">
      <c r="A43" s="7" t="s">
        <v>237</v>
      </c>
      <c r="B43" s="7">
        <v>42</v>
      </c>
      <c r="C43" s="7" t="s">
        <v>173</v>
      </c>
      <c r="D43" s="7" t="s">
        <v>174</v>
      </c>
      <c r="E43" s="7">
        <v>2018</v>
      </c>
      <c r="F43" s="7" t="s">
        <v>175</v>
      </c>
      <c r="G43" s="7" t="s">
        <v>47</v>
      </c>
      <c r="H43" s="7" t="s">
        <v>48</v>
      </c>
      <c r="I43" s="7">
        <v>19</v>
      </c>
      <c r="J43" s="7" t="s">
        <v>1293</v>
      </c>
      <c r="K43" s="7" t="s">
        <v>1294</v>
      </c>
      <c r="L43" s="7" t="s">
        <v>554</v>
      </c>
      <c r="M43" s="7" t="s">
        <v>1295</v>
      </c>
      <c r="N43" s="7" t="s">
        <v>419</v>
      </c>
      <c r="O43" s="7" t="s">
        <v>1296</v>
      </c>
      <c r="P43" s="7" t="s">
        <v>1297</v>
      </c>
      <c r="Q43" s="7" t="s">
        <v>1298</v>
      </c>
      <c r="R43" s="7" t="s">
        <v>317</v>
      </c>
      <c r="S43" s="7" t="s">
        <v>1299</v>
      </c>
      <c r="T43" s="7" t="s">
        <v>1300</v>
      </c>
      <c r="U43" s="7" t="s">
        <v>1301</v>
      </c>
      <c r="V43" s="7" t="s">
        <v>290</v>
      </c>
      <c r="W43" s="7" t="s">
        <v>291</v>
      </c>
      <c r="X43" s="7" t="s">
        <v>252</v>
      </c>
      <c r="Y43" s="7" t="s">
        <v>1302</v>
      </c>
      <c r="Z43" s="7" t="s">
        <v>427</v>
      </c>
      <c r="AA43" s="7" t="s">
        <v>255</v>
      </c>
      <c r="AB43" s="7" t="s">
        <v>1286</v>
      </c>
      <c r="AC43" s="7" t="s">
        <v>257</v>
      </c>
      <c r="AD43" s="7" t="s">
        <v>1303</v>
      </c>
      <c r="AE43" s="7" t="s">
        <v>586</v>
      </c>
      <c r="AF43" s="7" t="s">
        <v>325</v>
      </c>
      <c r="AG43" s="7" t="s">
        <v>1304</v>
      </c>
      <c r="AH43" s="7" t="s">
        <v>262</v>
      </c>
      <c r="AI43" s="7" t="s">
        <v>262</v>
      </c>
      <c r="AJ43" s="7" t="s">
        <v>1305</v>
      </c>
      <c r="AK43" s="7" t="s">
        <v>264</v>
      </c>
      <c r="AL43" s="7" t="s">
        <v>265</v>
      </c>
      <c r="AM43" s="7" t="s">
        <v>265</v>
      </c>
      <c r="AN43" s="7" t="s">
        <v>1306</v>
      </c>
      <c r="AO43" s="7" t="s">
        <v>325</v>
      </c>
      <c r="AP43" s="7" t="s">
        <v>268</v>
      </c>
      <c r="AQ43" s="7" t="s">
        <v>1307</v>
      </c>
      <c r="AR43" s="7" t="s">
        <v>270</v>
      </c>
      <c r="AS43" s="7" t="s">
        <v>1308</v>
      </c>
      <c r="AT43" s="7" t="s">
        <v>305</v>
      </c>
      <c r="AU43" s="20" t="s">
        <v>270</v>
      </c>
      <c r="AV43" s="20" t="s">
        <v>1309</v>
      </c>
      <c r="AW43" s="7" t="s">
        <v>1310</v>
      </c>
      <c r="AX43" s="7" t="s">
        <v>415</v>
      </c>
    </row>
    <row r="44" spans="1:50" ht="19.5" customHeight="1">
      <c r="A44" s="7" t="s">
        <v>237</v>
      </c>
      <c r="B44" s="7">
        <v>43</v>
      </c>
      <c r="C44" s="7" t="s">
        <v>177</v>
      </c>
      <c r="D44" s="7" t="s">
        <v>178</v>
      </c>
      <c r="E44" s="7">
        <v>2011</v>
      </c>
      <c r="F44" s="7" t="s">
        <v>179</v>
      </c>
      <c r="G44" s="7" t="s">
        <v>25</v>
      </c>
      <c r="H44" s="7" t="s">
        <v>48</v>
      </c>
      <c r="I44" s="7">
        <v>54</v>
      </c>
      <c r="J44" s="7" t="s">
        <v>1311</v>
      </c>
      <c r="K44" s="7" t="s">
        <v>1312</v>
      </c>
      <c r="L44" s="7" t="s">
        <v>366</v>
      </c>
      <c r="M44" s="7" t="s">
        <v>1313</v>
      </c>
      <c r="N44" s="7" t="s">
        <v>1081</v>
      </c>
      <c r="O44" s="7" t="s">
        <v>1314</v>
      </c>
      <c r="P44" s="7" t="s">
        <v>1315</v>
      </c>
      <c r="Q44" s="7" t="s">
        <v>1316</v>
      </c>
      <c r="R44" s="7" t="s">
        <v>317</v>
      </c>
      <c r="S44" s="7" t="s">
        <v>1317</v>
      </c>
      <c r="T44" s="7" t="s">
        <v>1318</v>
      </c>
      <c r="U44" s="7" t="s">
        <v>1319</v>
      </c>
      <c r="V44" s="7" t="s">
        <v>290</v>
      </c>
      <c r="W44" s="7" t="s">
        <v>291</v>
      </c>
      <c r="X44" s="7" t="s">
        <v>321</v>
      </c>
      <c r="Y44" s="7" t="s">
        <v>1320</v>
      </c>
      <c r="Z44" s="7" t="s">
        <v>1321</v>
      </c>
      <c r="AA44" s="7" t="s">
        <v>255</v>
      </c>
      <c r="AB44" s="7" t="s">
        <v>323</v>
      </c>
      <c r="AC44" s="7" t="s">
        <v>257</v>
      </c>
      <c r="AD44" s="7" t="s">
        <v>1322</v>
      </c>
      <c r="AE44" s="7" t="s">
        <v>351</v>
      </c>
      <c r="AF44" s="7" t="s">
        <v>325</v>
      </c>
      <c r="AG44" s="7" t="s">
        <v>1323</v>
      </c>
      <c r="AH44" s="7" t="s">
        <v>262</v>
      </c>
      <c r="AI44" s="7" t="s">
        <v>262</v>
      </c>
      <c r="AJ44" s="7" t="s">
        <v>1324</v>
      </c>
      <c r="AK44" s="7" t="s">
        <v>264</v>
      </c>
      <c r="AL44" s="7"/>
      <c r="AM44" s="7"/>
      <c r="AN44" s="7"/>
      <c r="AO44" s="7" t="s">
        <v>325</v>
      </c>
      <c r="AP44" s="7" t="s">
        <v>409</v>
      </c>
      <c r="AQ44" s="7"/>
      <c r="AR44" s="7"/>
      <c r="AS44" s="7" t="s">
        <v>1325</v>
      </c>
      <c r="AT44" s="7" t="s">
        <v>305</v>
      </c>
      <c r="AU44" s="20" t="s">
        <v>270</v>
      </c>
      <c r="AV44" s="20" t="s">
        <v>1326</v>
      </c>
      <c r="AW44" s="7" t="s">
        <v>1327</v>
      </c>
      <c r="AX44" s="7" t="s">
        <v>351</v>
      </c>
    </row>
    <row r="45" spans="1:50" ht="19.5" customHeight="1">
      <c r="A45" s="7" t="s">
        <v>237</v>
      </c>
      <c r="B45" s="7">
        <v>44</v>
      </c>
      <c r="C45" s="7" t="s">
        <v>181</v>
      </c>
      <c r="D45" s="7" t="s">
        <v>182</v>
      </c>
      <c r="E45" s="7">
        <v>2021</v>
      </c>
      <c r="F45" s="7" t="s">
        <v>183</v>
      </c>
      <c r="G45" s="7" t="s">
        <v>167</v>
      </c>
      <c r="H45" s="7" t="s">
        <v>48</v>
      </c>
      <c r="I45" s="7">
        <v>5</v>
      </c>
      <c r="J45" s="7" t="s">
        <v>1328</v>
      </c>
      <c r="K45" s="7" t="s">
        <v>1329</v>
      </c>
      <c r="L45" s="7" t="s">
        <v>1330</v>
      </c>
      <c r="M45" s="7" t="s">
        <v>1331</v>
      </c>
      <c r="N45" s="7" t="s">
        <v>1332</v>
      </c>
      <c r="O45" s="7" t="s">
        <v>1333</v>
      </c>
      <c r="P45" s="7" t="s">
        <v>1334</v>
      </c>
      <c r="Q45" s="7" t="s">
        <v>1335</v>
      </c>
      <c r="R45" s="7" t="s">
        <v>317</v>
      </c>
      <c r="S45" s="7" t="s">
        <v>1336</v>
      </c>
      <c r="T45" s="7" t="s">
        <v>1337</v>
      </c>
      <c r="U45" s="7" t="s">
        <v>1338</v>
      </c>
      <c r="V45" s="7" t="s">
        <v>290</v>
      </c>
      <c r="W45" s="7" t="s">
        <v>378</v>
      </c>
      <c r="X45" s="7" t="s">
        <v>252</v>
      </c>
      <c r="Y45" s="7" t="s">
        <v>1339</v>
      </c>
      <c r="Z45" s="7" t="s">
        <v>1340</v>
      </c>
      <c r="AA45" s="7" t="s">
        <v>255</v>
      </c>
      <c r="AB45" s="7" t="s">
        <v>1341</v>
      </c>
      <c r="AC45" s="7" t="s">
        <v>257</v>
      </c>
      <c r="AD45" s="7" t="s">
        <v>1342</v>
      </c>
      <c r="AE45" s="7" t="s">
        <v>586</v>
      </c>
      <c r="AF45" s="7" t="s">
        <v>1343</v>
      </c>
      <c r="AG45" s="7" t="s">
        <v>1344</v>
      </c>
      <c r="AH45" s="7" t="s">
        <v>262</v>
      </c>
      <c r="AI45" s="7" t="s">
        <v>262</v>
      </c>
      <c r="AJ45" s="7" t="s">
        <v>432</v>
      </c>
      <c r="AK45" s="7" t="s">
        <v>264</v>
      </c>
      <c r="AL45" s="7" t="s">
        <v>265</v>
      </c>
      <c r="AM45" s="7" t="s">
        <v>265</v>
      </c>
      <c r="AN45" s="7" t="s">
        <v>1345</v>
      </c>
      <c r="AO45" s="7" t="s">
        <v>325</v>
      </c>
      <c r="AP45" s="7" t="s">
        <v>268</v>
      </c>
      <c r="AQ45" s="7" t="s">
        <v>1346</v>
      </c>
      <c r="AR45" s="7" t="s">
        <v>1347</v>
      </c>
      <c r="AS45" s="7" t="s">
        <v>1348</v>
      </c>
      <c r="AT45" s="7" t="s">
        <v>265</v>
      </c>
      <c r="AU45" s="20" t="s">
        <v>270</v>
      </c>
      <c r="AV45" s="20" t="s">
        <v>1349</v>
      </c>
      <c r="AW45" s="7" t="s">
        <v>270</v>
      </c>
      <c r="AX45" s="7" t="s">
        <v>351</v>
      </c>
    </row>
    <row r="46" spans="1:50" ht="19.5" customHeight="1">
      <c r="A46" s="7" t="s">
        <v>237</v>
      </c>
      <c r="B46" s="7">
        <v>45</v>
      </c>
      <c r="C46" s="7" t="s">
        <v>185</v>
      </c>
      <c r="D46" s="7" t="s">
        <v>186</v>
      </c>
      <c r="E46" s="7">
        <v>2021</v>
      </c>
      <c r="F46" s="7" t="s">
        <v>187</v>
      </c>
      <c r="G46" s="7" t="s">
        <v>47</v>
      </c>
      <c r="H46" s="7" t="s">
        <v>48</v>
      </c>
      <c r="I46" s="7">
        <v>11</v>
      </c>
      <c r="J46" s="7" t="s">
        <v>1350</v>
      </c>
      <c r="K46" s="7" t="s">
        <v>1351</v>
      </c>
      <c r="L46" s="7" t="s">
        <v>1352</v>
      </c>
      <c r="M46" s="7" t="s">
        <v>1353</v>
      </c>
      <c r="N46" s="7" t="s">
        <v>1353</v>
      </c>
      <c r="O46" s="7" t="s">
        <v>1354</v>
      </c>
      <c r="P46" s="7" t="s">
        <v>1355</v>
      </c>
      <c r="Q46" s="7" t="s">
        <v>1356</v>
      </c>
      <c r="R46" s="7" t="s">
        <v>317</v>
      </c>
      <c r="S46" s="7" t="s">
        <v>1357</v>
      </c>
      <c r="T46" s="7" t="s">
        <v>1358</v>
      </c>
      <c r="U46" s="7" t="s">
        <v>1359</v>
      </c>
      <c r="V46" s="7" t="s">
        <v>514</v>
      </c>
      <c r="W46" s="7" t="s">
        <v>291</v>
      </c>
      <c r="X46" s="7" t="s">
        <v>252</v>
      </c>
      <c r="Y46" s="7" t="s">
        <v>1360</v>
      </c>
      <c r="Z46" s="7" t="s">
        <v>427</v>
      </c>
      <c r="AA46" s="7" t="s">
        <v>255</v>
      </c>
      <c r="AB46" s="7" t="s">
        <v>1361</v>
      </c>
      <c r="AC46" s="7" t="s">
        <v>257</v>
      </c>
      <c r="AD46" s="7" t="s">
        <v>1362</v>
      </c>
      <c r="AE46" s="7" t="s">
        <v>1363</v>
      </c>
      <c r="AF46" s="7" t="s">
        <v>1364</v>
      </c>
      <c r="AG46" s="7" t="s">
        <v>1365</v>
      </c>
      <c r="AH46" s="7" t="s">
        <v>1366</v>
      </c>
      <c r="AI46" s="7" t="s">
        <v>262</v>
      </c>
      <c r="AJ46" s="7" t="s">
        <v>1367</v>
      </c>
      <c r="AK46" s="7" t="s">
        <v>264</v>
      </c>
      <c r="AL46" s="7" t="s">
        <v>262</v>
      </c>
      <c r="AM46" s="7" t="s">
        <v>262</v>
      </c>
      <c r="AN46" s="7" t="s">
        <v>1368</v>
      </c>
      <c r="AO46" s="7" t="s">
        <v>1369</v>
      </c>
      <c r="AP46" s="7" t="s">
        <v>268</v>
      </c>
      <c r="AQ46" s="7" t="s">
        <v>1370</v>
      </c>
      <c r="AR46" s="7" t="s">
        <v>1371</v>
      </c>
      <c r="AS46" s="7" t="s">
        <v>1372</v>
      </c>
      <c r="AT46" s="7" t="s">
        <v>305</v>
      </c>
      <c r="AU46" s="20" t="s">
        <v>1373</v>
      </c>
      <c r="AV46" s="20" t="s">
        <v>1374</v>
      </c>
      <c r="AW46" s="7" t="s">
        <v>1375</v>
      </c>
      <c r="AX46" s="7" t="s">
        <v>351</v>
      </c>
    </row>
    <row r="47" spans="1:50" ht="18" customHeight="1">
      <c r="A47" s="7" t="s">
        <v>237</v>
      </c>
      <c r="B47" s="7">
        <v>46</v>
      </c>
      <c r="C47" s="7" t="s">
        <v>189</v>
      </c>
      <c r="D47" s="7" t="s">
        <v>190</v>
      </c>
      <c r="E47" s="7">
        <v>2018</v>
      </c>
      <c r="F47" s="7" t="s">
        <v>191</v>
      </c>
      <c r="G47" s="7" t="s">
        <v>25</v>
      </c>
      <c r="H47" s="7" t="s">
        <v>48</v>
      </c>
      <c r="I47" s="7">
        <v>54</v>
      </c>
      <c r="J47" s="7" t="s">
        <v>1376</v>
      </c>
      <c r="K47" s="7" t="s">
        <v>1377</v>
      </c>
      <c r="L47" s="7" t="s">
        <v>532</v>
      </c>
      <c r="M47" s="7" t="s">
        <v>1378</v>
      </c>
      <c r="N47" s="7" t="s">
        <v>1238</v>
      </c>
      <c r="O47" s="7" t="s">
        <v>1333</v>
      </c>
      <c r="P47" s="7" t="s">
        <v>1379</v>
      </c>
      <c r="Q47" s="7" t="s">
        <v>1380</v>
      </c>
      <c r="R47" s="7" t="s">
        <v>317</v>
      </c>
      <c r="S47" s="7" t="s">
        <v>1381</v>
      </c>
      <c r="T47" s="7" t="s">
        <v>1382</v>
      </c>
      <c r="U47" s="7" t="s">
        <v>1383</v>
      </c>
      <c r="V47" s="7" t="s">
        <v>290</v>
      </c>
      <c r="W47" s="7" t="s">
        <v>291</v>
      </c>
      <c r="X47" s="7" t="s">
        <v>252</v>
      </c>
      <c r="Y47" s="7" t="s">
        <v>1384</v>
      </c>
      <c r="Z47" s="7" t="s">
        <v>1385</v>
      </c>
      <c r="AA47" s="7" t="s">
        <v>255</v>
      </c>
      <c r="AB47" s="7" t="s">
        <v>1386</v>
      </c>
      <c r="AC47" s="7" t="s">
        <v>257</v>
      </c>
      <c r="AD47" s="7" t="s">
        <v>1387</v>
      </c>
      <c r="AE47" s="7" t="s">
        <v>1388</v>
      </c>
      <c r="AF47" s="7" t="s">
        <v>325</v>
      </c>
      <c r="AG47" s="7" t="s">
        <v>1389</v>
      </c>
      <c r="AH47" s="7" t="s">
        <v>262</v>
      </c>
      <c r="AI47" s="7" t="s">
        <v>262</v>
      </c>
      <c r="AJ47" s="7" t="s">
        <v>432</v>
      </c>
      <c r="AK47" s="7" t="s">
        <v>264</v>
      </c>
      <c r="AL47" s="7" t="s">
        <v>385</v>
      </c>
      <c r="AM47" s="7"/>
      <c r="AN47" s="7"/>
      <c r="AO47" s="7" t="s">
        <v>325</v>
      </c>
      <c r="AP47" s="7" t="s">
        <v>268</v>
      </c>
      <c r="AQ47" s="7" t="s">
        <v>1390</v>
      </c>
      <c r="AR47" s="7" t="s">
        <v>270</v>
      </c>
      <c r="AS47" s="7" t="s">
        <v>1391</v>
      </c>
      <c r="AT47" s="7" t="s">
        <v>305</v>
      </c>
      <c r="AU47" s="20" t="s">
        <v>270</v>
      </c>
      <c r="AV47" s="20" t="s">
        <v>1392</v>
      </c>
      <c r="AW47" s="7" t="s">
        <v>325</v>
      </c>
      <c r="AX47" s="7" t="s">
        <v>351</v>
      </c>
    </row>
  </sheetData>
  <hyperlinks>
    <hyperlink ref="AF2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S1077"/>
  <sheetViews>
    <sheetView workbookViewId="0"/>
  </sheetViews>
  <sheetFormatPr baseColWidth="10" defaultColWidth="12.6640625" defaultRowHeight="15.75" customHeight="1"/>
  <cols>
    <col min="2" max="2" width="54.33203125" customWidth="1"/>
    <col min="4" max="4" width="23.1640625" customWidth="1"/>
    <col min="5" max="5" width="20.1640625" customWidth="1"/>
    <col min="6" max="6" width="16" customWidth="1"/>
    <col min="7" max="7" width="10" customWidth="1"/>
    <col min="8" max="8" width="70.1640625" customWidth="1"/>
    <col min="9" max="9" width="21.6640625" customWidth="1"/>
    <col min="10" max="10" width="26.33203125" customWidth="1"/>
    <col min="11" max="11" width="17.6640625" customWidth="1"/>
    <col min="12" max="12" width="18.1640625" customWidth="1"/>
    <col min="13" max="13" width="19.5" customWidth="1"/>
    <col min="14" max="14" width="21" customWidth="1"/>
    <col min="15" max="15" width="23.33203125" customWidth="1"/>
    <col min="16" max="16" width="21.5" customWidth="1"/>
    <col min="18" max="18" width="34.1640625" customWidth="1"/>
    <col min="19" max="19" width="25" customWidth="1"/>
    <col min="20" max="20" width="35" customWidth="1"/>
    <col min="21" max="21" width="26.6640625" customWidth="1"/>
    <col min="22" max="22" width="47.1640625" customWidth="1"/>
    <col min="23" max="23" width="9.83203125" customWidth="1"/>
    <col min="24" max="24" width="66.5" customWidth="1"/>
    <col min="25" max="25" width="38" customWidth="1"/>
    <col min="26" max="26" width="31.1640625" customWidth="1"/>
    <col min="27" max="27" width="17.5" customWidth="1"/>
    <col min="28" max="28" width="26.33203125" customWidth="1"/>
    <col min="29" max="29" width="24.83203125" customWidth="1"/>
    <col min="30" max="30" width="31.1640625" customWidth="1"/>
    <col min="31" max="31" width="41.83203125" customWidth="1"/>
    <col min="32" max="33" width="12.83203125" customWidth="1"/>
    <col min="34" max="37" width="29.6640625" customWidth="1"/>
    <col min="38" max="38" width="12.6640625" customWidth="1"/>
    <col min="39" max="39" width="6.33203125" customWidth="1"/>
    <col min="40" max="40" width="39.1640625" customWidth="1"/>
    <col min="41" max="41" width="29.6640625" customWidth="1"/>
    <col min="42" max="42" width="16.1640625" customWidth="1"/>
    <col min="43" max="45" width="29.6640625" customWidth="1"/>
  </cols>
  <sheetData>
    <row r="1" spans="1:45" ht="98">
      <c r="A1" s="17" t="s">
        <v>3</v>
      </c>
      <c r="B1" s="17" t="s">
        <v>4</v>
      </c>
      <c r="C1" s="17" t="s">
        <v>5</v>
      </c>
      <c r="D1" s="17" t="s">
        <v>6</v>
      </c>
      <c r="E1" s="17" t="s">
        <v>7</v>
      </c>
      <c r="F1" s="22"/>
      <c r="G1" s="23" t="s">
        <v>0</v>
      </c>
      <c r="H1" s="23" t="s">
        <v>195</v>
      </c>
      <c r="I1" s="23" t="s">
        <v>196</v>
      </c>
      <c r="J1" s="23" t="s">
        <v>197</v>
      </c>
      <c r="K1" s="24" t="s">
        <v>231</v>
      </c>
      <c r="L1" s="23" t="s">
        <v>1401</v>
      </c>
      <c r="M1" s="25"/>
      <c r="N1" s="24" t="s">
        <v>0</v>
      </c>
      <c r="O1" s="24" t="s">
        <v>199</v>
      </c>
      <c r="P1" s="17"/>
      <c r="Q1" s="24" t="s">
        <v>0</v>
      </c>
      <c r="R1" s="24" t="s">
        <v>200</v>
      </c>
      <c r="S1" s="8"/>
      <c r="T1" s="24" t="s">
        <v>0</v>
      </c>
      <c r="U1" s="24" t="s">
        <v>201</v>
      </c>
      <c r="V1" s="8"/>
      <c r="W1" s="24" t="s">
        <v>0</v>
      </c>
      <c r="X1" s="24" t="s">
        <v>1402</v>
      </c>
      <c r="Y1" s="8"/>
      <c r="Z1" s="26" t="s">
        <v>0</v>
      </c>
      <c r="AA1" s="24" t="s">
        <v>202</v>
      </c>
      <c r="AB1" s="26" t="s">
        <v>214</v>
      </c>
      <c r="AC1" s="10"/>
      <c r="AD1" s="10"/>
      <c r="AE1" s="10"/>
      <c r="AF1" s="10"/>
      <c r="AG1" s="10"/>
      <c r="AH1" s="10"/>
      <c r="AI1" s="10"/>
      <c r="AJ1" s="10"/>
      <c r="AK1" s="10"/>
      <c r="AL1" s="10"/>
      <c r="AM1" s="10"/>
      <c r="AN1" s="10"/>
      <c r="AO1" s="10"/>
      <c r="AP1" s="10"/>
      <c r="AQ1" s="10"/>
      <c r="AR1" s="10"/>
      <c r="AS1" s="10"/>
    </row>
    <row r="2" spans="1:45" ht="13">
      <c r="A2" s="10">
        <v>2023</v>
      </c>
      <c r="B2" s="10" t="s">
        <v>11</v>
      </c>
      <c r="C2" s="10" t="s">
        <v>12</v>
      </c>
      <c r="D2" s="10" t="s">
        <v>13</v>
      </c>
      <c r="E2" s="10">
        <v>0</v>
      </c>
      <c r="F2" s="267"/>
      <c r="G2" s="27" t="s">
        <v>8</v>
      </c>
      <c r="H2" s="255" t="s">
        <v>9</v>
      </c>
      <c r="I2" s="257" t="s">
        <v>238</v>
      </c>
      <c r="J2" s="257" t="s">
        <v>239</v>
      </c>
      <c r="K2" s="269" t="s">
        <v>271</v>
      </c>
      <c r="L2" s="27" t="s">
        <v>1403</v>
      </c>
      <c r="M2" s="29"/>
      <c r="N2" s="4" t="s">
        <v>8</v>
      </c>
      <c r="O2" s="4" t="s">
        <v>1404</v>
      </c>
      <c r="P2" s="29"/>
      <c r="Q2" s="4" t="s">
        <v>8</v>
      </c>
      <c r="R2" s="4" t="s">
        <v>368</v>
      </c>
      <c r="S2" s="10"/>
      <c r="T2" s="4" t="s">
        <v>8</v>
      </c>
      <c r="U2" s="4" t="s">
        <v>488</v>
      </c>
      <c r="V2" s="10"/>
      <c r="W2" s="4" t="s">
        <v>8</v>
      </c>
      <c r="X2" s="30" t="s">
        <v>532</v>
      </c>
      <c r="Y2" s="10"/>
      <c r="Z2" s="31" t="s">
        <v>8</v>
      </c>
      <c r="AA2" s="27" t="s">
        <v>1405</v>
      </c>
      <c r="AB2" s="27" t="s">
        <v>1406</v>
      </c>
      <c r="AC2" s="10"/>
      <c r="AD2" s="10"/>
      <c r="AE2" s="10"/>
      <c r="AF2" s="10"/>
      <c r="AG2" s="10"/>
      <c r="AH2" s="10"/>
      <c r="AI2" s="10"/>
      <c r="AJ2" s="10"/>
      <c r="AK2" s="10"/>
      <c r="AL2" s="10"/>
      <c r="AM2" s="10"/>
      <c r="AN2" s="10"/>
      <c r="AO2" s="10"/>
      <c r="AP2" s="10"/>
      <c r="AQ2" s="10"/>
      <c r="AR2" s="10"/>
      <c r="AS2" s="10"/>
    </row>
    <row r="3" spans="1:45" ht="13">
      <c r="A3" s="10">
        <v>2023</v>
      </c>
      <c r="B3" s="10" t="s">
        <v>11</v>
      </c>
      <c r="C3" s="10" t="s">
        <v>12</v>
      </c>
      <c r="D3" s="10" t="s">
        <v>13</v>
      </c>
      <c r="E3" s="10">
        <v>0</v>
      </c>
      <c r="F3" s="268"/>
      <c r="G3" s="32" t="s">
        <v>8</v>
      </c>
      <c r="H3" s="262"/>
      <c r="I3" s="258"/>
      <c r="J3" s="258"/>
      <c r="K3" s="263"/>
      <c r="L3" s="32" t="s">
        <v>1407</v>
      </c>
      <c r="M3" s="29"/>
      <c r="N3" s="4" t="s">
        <v>14</v>
      </c>
      <c r="O3" s="4" t="s">
        <v>1408</v>
      </c>
      <c r="P3" s="29"/>
      <c r="Q3" s="4" t="s">
        <v>14</v>
      </c>
      <c r="R3" s="4" t="s">
        <v>325</v>
      </c>
      <c r="S3" s="10"/>
      <c r="T3" s="4" t="s">
        <v>8</v>
      </c>
      <c r="U3" s="4" t="s">
        <v>1409</v>
      </c>
      <c r="V3" s="10"/>
      <c r="W3" s="4" t="s">
        <v>14</v>
      </c>
      <c r="X3" s="30" t="s">
        <v>1410</v>
      </c>
      <c r="Y3" s="10"/>
      <c r="Z3" s="33" t="s">
        <v>8</v>
      </c>
      <c r="AA3" s="32" t="s">
        <v>1411</v>
      </c>
      <c r="AB3" s="27" t="s">
        <v>1412</v>
      </c>
      <c r="AC3" s="10"/>
      <c r="AD3" s="10"/>
      <c r="AE3" s="10"/>
      <c r="AF3" s="10"/>
      <c r="AG3" s="10"/>
      <c r="AH3" s="10"/>
      <c r="AI3" s="10"/>
      <c r="AJ3" s="10"/>
      <c r="AK3" s="10"/>
      <c r="AL3" s="10"/>
      <c r="AM3" s="10"/>
      <c r="AN3" s="10"/>
      <c r="AO3" s="10"/>
      <c r="AP3" s="10"/>
      <c r="AQ3" s="10"/>
      <c r="AR3" s="10"/>
      <c r="AS3" s="10"/>
    </row>
    <row r="4" spans="1:45" ht="13">
      <c r="A4" s="10">
        <v>2023</v>
      </c>
      <c r="B4" s="10" t="s">
        <v>11</v>
      </c>
      <c r="C4" s="10" t="s">
        <v>12</v>
      </c>
      <c r="D4" s="10" t="s">
        <v>20</v>
      </c>
      <c r="E4" s="10">
        <v>0</v>
      </c>
      <c r="F4" s="268"/>
      <c r="G4" s="32" t="s">
        <v>8</v>
      </c>
      <c r="H4" s="262"/>
      <c r="I4" s="258"/>
      <c r="J4" s="258"/>
      <c r="K4" s="263"/>
      <c r="L4" s="32" t="s">
        <v>1413</v>
      </c>
      <c r="M4" s="29"/>
      <c r="N4" s="4" t="s">
        <v>17</v>
      </c>
      <c r="O4" s="4" t="s">
        <v>1404</v>
      </c>
      <c r="P4" s="29"/>
      <c r="Q4" s="4" t="s">
        <v>17</v>
      </c>
      <c r="R4" s="4" t="s">
        <v>368</v>
      </c>
      <c r="S4" s="10"/>
      <c r="T4" s="4" t="s">
        <v>14</v>
      </c>
      <c r="U4" s="4" t="s">
        <v>1409</v>
      </c>
      <c r="V4" s="10"/>
      <c r="W4" s="4" t="s">
        <v>17</v>
      </c>
      <c r="X4" s="30" t="s">
        <v>532</v>
      </c>
      <c r="Y4" s="10"/>
      <c r="Z4" s="33" t="s">
        <v>8</v>
      </c>
      <c r="AA4" s="32" t="s">
        <v>692</v>
      </c>
      <c r="AB4" s="32"/>
      <c r="AC4" s="10"/>
      <c r="AD4" s="10"/>
      <c r="AE4" s="10"/>
      <c r="AF4" s="10"/>
      <c r="AG4" s="10"/>
      <c r="AH4" s="10"/>
      <c r="AI4" s="10"/>
      <c r="AJ4" s="10"/>
      <c r="AK4" s="10"/>
      <c r="AL4" s="10"/>
      <c r="AM4" s="10"/>
      <c r="AN4" s="10"/>
      <c r="AO4" s="10"/>
      <c r="AP4" s="10"/>
      <c r="AQ4" s="10"/>
      <c r="AR4" s="10"/>
      <c r="AS4" s="10"/>
    </row>
    <row r="5" spans="1:45" ht="13">
      <c r="A5" s="10">
        <v>2022</v>
      </c>
      <c r="B5" s="10" t="s">
        <v>24</v>
      </c>
      <c r="C5" s="10" t="s">
        <v>25</v>
      </c>
      <c r="D5" s="10" t="s">
        <v>13</v>
      </c>
      <c r="E5" s="10">
        <v>0</v>
      </c>
      <c r="F5" s="268"/>
      <c r="G5" s="34" t="s">
        <v>8</v>
      </c>
      <c r="H5" s="256"/>
      <c r="I5" s="254"/>
      <c r="J5" s="254"/>
      <c r="K5" s="260"/>
      <c r="L5" s="34" t="s">
        <v>1414</v>
      </c>
      <c r="M5" s="29"/>
      <c r="N5" s="4" t="s">
        <v>21</v>
      </c>
      <c r="O5" s="4" t="s">
        <v>1408</v>
      </c>
      <c r="P5" s="29"/>
      <c r="Q5" s="4" t="s">
        <v>21</v>
      </c>
      <c r="R5" s="4" t="s">
        <v>325</v>
      </c>
      <c r="S5" s="10"/>
      <c r="T5" s="4" t="s">
        <v>14</v>
      </c>
      <c r="U5" s="4" t="s">
        <v>1415</v>
      </c>
      <c r="V5" s="10"/>
      <c r="W5" s="4" t="s">
        <v>21</v>
      </c>
      <c r="X5" s="30" t="s">
        <v>532</v>
      </c>
      <c r="Y5" s="10"/>
      <c r="Z5" s="35" t="s">
        <v>8</v>
      </c>
      <c r="AA5" s="34" t="s">
        <v>1416</v>
      </c>
      <c r="AB5" s="34"/>
      <c r="AC5" s="10"/>
      <c r="AD5" s="10"/>
      <c r="AE5" s="10"/>
      <c r="AF5" s="10"/>
      <c r="AG5" s="10"/>
      <c r="AH5" s="10"/>
      <c r="AI5" s="10"/>
      <c r="AJ5" s="10"/>
      <c r="AK5" s="10"/>
      <c r="AL5" s="10"/>
      <c r="AM5" s="10"/>
      <c r="AN5" s="10"/>
      <c r="AO5" s="10"/>
      <c r="AP5" s="10"/>
      <c r="AQ5" s="10"/>
      <c r="AR5" s="10"/>
      <c r="AS5" s="10"/>
    </row>
    <row r="6" spans="1:45" ht="13">
      <c r="A6" s="10">
        <v>2022</v>
      </c>
      <c r="B6" s="10" t="s">
        <v>24</v>
      </c>
      <c r="C6" s="10" t="s">
        <v>25</v>
      </c>
      <c r="D6" s="10" t="s">
        <v>20</v>
      </c>
      <c r="E6" s="10">
        <v>0</v>
      </c>
      <c r="F6" s="268"/>
      <c r="G6" s="32" t="s">
        <v>14</v>
      </c>
      <c r="H6" s="255" t="s">
        <v>15</v>
      </c>
      <c r="I6" s="257" t="s">
        <v>309</v>
      </c>
      <c r="J6" s="257" t="s">
        <v>310</v>
      </c>
      <c r="K6" s="265" t="s">
        <v>333</v>
      </c>
      <c r="L6" s="32" t="s">
        <v>1417</v>
      </c>
      <c r="M6" s="36"/>
      <c r="N6" s="4" t="s">
        <v>26</v>
      </c>
      <c r="O6" s="4" t="s">
        <v>1404</v>
      </c>
      <c r="P6" s="29"/>
      <c r="Q6" s="4" t="s">
        <v>26</v>
      </c>
      <c r="R6" s="4" t="s">
        <v>443</v>
      </c>
      <c r="S6" s="10"/>
      <c r="T6" s="4" t="s">
        <v>17</v>
      </c>
      <c r="U6" s="4" t="s">
        <v>1409</v>
      </c>
      <c r="V6" s="10"/>
      <c r="W6" s="4" t="s">
        <v>26</v>
      </c>
      <c r="X6" s="30" t="s">
        <v>788</v>
      </c>
      <c r="Y6" s="10"/>
      <c r="Z6" s="33" t="s">
        <v>14</v>
      </c>
      <c r="AA6" s="32" t="s">
        <v>1405</v>
      </c>
      <c r="AB6" s="27" t="s">
        <v>1406</v>
      </c>
      <c r="AC6" s="10"/>
      <c r="AD6" s="10"/>
      <c r="AE6" s="10"/>
      <c r="AF6" s="10"/>
      <c r="AG6" s="10"/>
      <c r="AH6" s="10"/>
      <c r="AI6" s="10"/>
      <c r="AJ6" s="10"/>
      <c r="AK6" s="10"/>
      <c r="AL6" s="10"/>
      <c r="AM6" s="10"/>
      <c r="AN6" s="10"/>
      <c r="AO6" s="10"/>
      <c r="AP6" s="10"/>
      <c r="AQ6" s="10"/>
      <c r="AR6" s="10"/>
      <c r="AS6" s="10"/>
    </row>
    <row r="7" spans="1:45" ht="13">
      <c r="A7" s="10">
        <v>2022</v>
      </c>
      <c r="B7" s="10" t="s">
        <v>24</v>
      </c>
      <c r="C7" s="10" t="s">
        <v>25</v>
      </c>
      <c r="D7" s="10" t="s">
        <v>20</v>
      </c>
      <c r="E7" s="10">
        <v>0</v>
      </c>
      <c r="F7" s="268"/>
      <c r="G7" s="32" t="s">
        <v>14</v>
      </c>
      <c r="H7" s="262"/>
      <c r="I7" s="258"/>
      <c r="J7" s="258"/>
      <c r="K7" s="258"/>
      <c r="L7" s="32" t="s">
        <v>1418</v>
      </c>
      <c r="M7" s="36"/>
      <c r="N7" s="4" t="s">
        <v>29</v>
      </c>
      <c r="O7" s="4" t="s">
        <v>908</v>
      </c>
      <c r="P7" s="29"/>
      <c r="Q7" s="4" t="s">
        <v>29</v>
      </c>
      <c r="R7" s="4" t="s">
        <v>325</v>
      </c>
      <c r="S7" s="10"/>
      <c r="T7" s="4" t="s">
        <v>21</v>
      </c>
      <c r="U7" s="4" t="s">
        <v>1409</v>
      </c>
      <c r="V7" s="10"/>
      <c r="W7" s="4" t="s">
        <v>29</v>
      </c>
      <c r="X7" s="30" t="s">
        <v>1410</v>
      </c>
      <c r="Y7" s="10"/>
      <c r="Z7" s="33" t="s">
        <v>14</v>
      </c>
      <c r="AA7" s="32" t="s">
        <v>692</v>
      </c>
      <c r="AB7" s="32"/>
      <c r="AC7" s="10"/>
      <c r="AD7" s="10"/>
      <c r="AE7" s="10"/>
      <c r="AF7" s="10"/>
      <c r="AG7" s="10"/>
      <c r="AH7" s="10"/>
      <c r="AI7" s="10"/>
      <c r="AJ7" s="10"/>
      <c r="AK7" s="10"/>
      <c r="AL7" s="10"/>
      <c r="AM7" s="10"/>
      <c r="AN7" s="10"/>
      <c r="AO7" s="10"/>
      <c r="AP7" s="10"/>
      <c r="AQ7" s="10"/>
      <c r="AR7" s="10"/>
      <c r="AS7" s="10"/>
    </row>
    <row r="8" spans="1:45" ht="13">
      <c r="A8" s="10">
        <v>2022</v>
      </c>
      <c r="B8" s="10" t="s">
        <v>35</v>
      </c>
      <c r="C8" s="10" t="s">
        <v>12</v>
      </c>
      <c r="D8" s="10" t="s">
        <v>20</v>
      </c>
      <c r="E8" s="10">
        <v>0</v>
      </c>
      <c r="F8" s="268"/>
      <c r="G8" s="34" t="s">
        <v>14</v>
      </c>
      <c r="H8" s="256"/>
      <c r="I8" s="254"/>
      <c r="J8" s="254"/>
      <c r="K8" s="254"/>
      <c r="L8" s="34" t="s">
        <v>1419</v>
      </c>
      <c r="M8" s="36"/>
      <c r="N8" s="4" t="s">
        <v>32</v>
      </c>
      <c r="O8" s="4" t="s">
        <v>1408</v>
      </c>
      <c r="P8" s="29"/>
      <c r="Q8" s="4" t="s">
        <v>32</v>
      </c>
      <c r="R8" s="4" t="s">
        <v>325</v>
      </c>
      <c r="S8" s="10"/>
      <c r="T8" s="4" t="s">
        <v>26</v>
      </c>
      <c r="U8" s="4" t="s">
        <v>488</v>
      </c>
      <c r="V8" s="10"/>
      <c r="W8" s="4" t="s">
        <v>32</v>
      </c>
      <c r="X8" s="30" t="s">
        <v>532</v>
      </c>
      <c r="Y8" s="10"/>
      <c r="Z8" s="33" t="s">
        <v>14</v>
      </c>
      <c r="AA8" s="34"/>
      <c r="AB8" s="34"/>
      <c r="AC8" s="10"/>
      <c r="AD8" s="10"/>
      <c r="AE8" s="10"/>
      <c r="AF8" s="10"/>
      <c r="AG8" s="10"/>
      <c r="AH8" s="10"/>
      <c r="AI8" s="10"/>
      <c r="AJ8" s="10"/>
      <c r="AK8" s="10"/>
      <c r="AL8" s="10"/>
      <c r="AM8" s="10"/>
      <c r="AN8" s="10"/>
      <c r="AO8" s="10"/>
      <c r="AP8" s="10"/>
      <c r="AQ8" s="10"/>
      <c r="AR8" s="10"/>
      <c r="AS8" s="10"/>
    </row>
    <row r="9" spans="1:45" ht="13">
      <c r="A9" s="10">
        <v>2022</v>
      </c>
      <c r="B9" s="10" t="s">
        <v>11</v>
      </c>
      <c r="C9" s="10" t="s">
        <v>12</v>
      </c>
      <c r="D9" s="10" t="s">
        <v>20</v>
      </c>
      <c r="E9" s="10">
        <v>1</v>
      </c>
      <c r="F9" s="268"/>
      <c r="G9" s="32" t="s">
        <v>17</v>
      </c>
      <c r="H9" s="257" t="s">
        <v>18</v>
      </c>
      <c r="I9" s="257" t="s">
        <v>364</v>
      </c>
      <c r="J9" s="257" t="s">
        <v>1420</v>
      </c>
      <c r="K9" s="265" t="s">
        <v>388</v>
      </c>
      <c r="L9" s="27" t="s">
        <v>1421</v>
      </c>
      <c r="M9" s="36"/>
      <c r="N9" s="4" t="s">
        <v>36</v>
      </c>
      <c r="O9" s="4" t="s">
        <v>1404</v>
      </c>
      <c r="P9" s="29"/>
      <c r="Q9" s="4" t="s">
        <v>36</v>
      </c>
      <c r="R9" s="4" t="s">
        <v>443</v>
      </c>
      <c r="S9" s="10"/>
      <c r="T9" s="4" t="s">
        <v>29</v>
      </c>
      <c r="U9" s="4" t="s">
        <v>488</v>
      </c>
      <c r="V9" s="10"/>
      <c r="W9" s="4" t="s">
        <v>36</v>
      </c>
      <c r="X9" s="30" t="s">
        <v>532</v>
      </c>
      <c r="Y9" s="10"/>
      <c r="Z9" s="27" t="s">
        <v>17</v>
      </c>
      <c r="AA9" s="27" t="s">
        <v>1411</v>
      </c>
      <c r="AB9" s="27" t="s">
        <v>1406</v>
      </c>
      <c r="AC9" s="10"/>
      <c r="AD9" s="10"/>
      <c r="AE9" s="10"/>
      <c r="AF9" s="10"/>
      <c r="AG9" s="10"/>
      <c r="AH9" s="10"/>
      <c r="AI9" s="10"/>
      <c r="AJ9" s="10"/>
      <c r="AK9" s="10"/>
      <c r="AL9" s="10"/>
      <c r="AM9" s="10"/>
      <c r="AN9" s="10"/>
      <c r="AO9" s="10"/>
      <c r="AP9" s="10"/>
      <c r="AQ9" s="10"/>
      <c r="AR9" s="10"/>
      <c r="AS9" s="10"/>
    </row>
    <row r="10" spans="1:45" ht="13">
      <c r="A10" s="10">
        <v>2022</v>
      </c>
      <c r="B10" s="10" t="s">
        <v>42</v>
      </c>
      <c r="C10" s="10" t="s">
        <v>12</v>
      </c>
      <c r="D10" s="10" t="s">
        <v>20</v>
      </c>
      <c r="E10" s="10">
        <v>1</v>
      </c>
      <c r="F10" s="268"/>
      <c r="G10" s="32" t="s">
        <v>17</v>
      </c>
      <c r="H10" s="258"/>
      <c r="I10" s="258"/>
      <c r="J10" s="258"/>
      <c r="K10" s="258"/>
      <c r="L10" s="32" t="s">
        <v>1422</v>
      </c>
      <c r="M10" s="36"/>
      <c r="N10" s="4" t="s">
        <v>39</v>
      </c>
      <c r="O10" s="4" t="s">
        <v>1404</v>
      </c>
      <c r="P10" s="29"/>
      <c r="Q10" s="4" t="s">
        <v>39</v>
      </c>
      <c r="R10" s="4" t="s">
        <v>443</v>
      </c>
      <c r="S10" s="10"/>
      <c r="T10" s="4" t="s">
        <v>32</v>
      </c>
      <c r="U10" s="4" t="s">
        <v>488</v>
      </c>
      <c r="V10" s="10"/>
      <c r="W10" s="4" t="s">
        <v>39</v>
      </c>
      <c r="X10" s="30" t="s">
        <v>366</v>
      </c>
      <c r="Y10" s="10"/>
      <c r="Z10" s="32" t="s">
        <v>17</v>
      </c>
      <c r="AA10" s="32" t="s">
        <v>1416</v>
      </c>
      <c r="AB10" s="32"/>
      <c r="AC10" s="10"/>
      <c r="AD10" s="10"/>
      <c r="AE10" s="10"/>
      <c r="AF10" s="10"/>
      <c r="AG10" s="10"/>
      <c r="AH10" s="10"/>
      <c r="AI10" s="10"/>
      <c r="AJ10" s="10"/>
      <c r="AK10" s="10"/>
      <c r="AL10" s="10"/>
      <c r="AM10" s="10"/>
      <c r="AN10" s="10"/>
      <c r="AO10" s="10"/>
      <c r="AP10" s="10"/>
      <c r="AQ10" s="10"/>
      <c r="AR10" s="10"/>
      <c r="AS10" s="10"/>
    </row>
    <row r="11" spans="1:45" ht="13">
      <c r="A11" s="10">
        <v>2022</v>
      </c>
      <c r="B11" s="10" t="s">
        <v>46</v>
      </c>
      <c r="C11" s="10" t="s">
        <v>47</v>
      </c>
      <c r="D11" s="10" t="s">
        <v>48</v>
      </c>
      <c r="E11" s="10">
        <v>1</v>
      </c>
      <c r="F11" s="268"/>
      <c r="G11" s="32" t="s">
        <v>17</v>
      </c>
      <c r="H11" s="254"/>
      <c r="I11" s="254"/>
      <c r="J11" s="254"/>
      <c r="K11" s="254"/>
      <c r="L11" s="34" t="s">
        <v>1417</v>
      </c>
      <c r="M11" s="36"/>
      <c r="N11" s="4" t="s">
        <v>43</v>
      </c>
      <c r="O11" s="4" t="s">
        <v>619</v>
      </c>
      <c r="P11" s="29"/>
      <c r="Q11" s="4" t="s">
        <v>43</v>
      </c>
      <c r="R11" s="4" t="s">
        <v>325</v>
      </c>
      <c r="S11" s="10"/>
      <c r="T11" s="4" t="s">
        <v>36</v>
      </c>
      <c r="U11" s="4" t="s">
        <v>488</v>
      </c>
      <c r="V11" s="10"/>
      <c r="W11" s="4" t="s">
        <v>43</v>
      </c>
      <c r="X11" s="30" t="s">
        <v>366</v>
      </c>
      <c r="Y11" s="10"/>
      <c r="Z11" s="32" t="s">
        <v>17</v>
      </c>
      <c r="AA11" s="34" t="s">
        <v>1423</v>
      </c>
      <c r="AB11" s="34" t="s">
        <v>1424</v>
      </c>
      <c r="AC11" s="10"/>
      <c r="AD11" s="10"/>
      <c r="AE11" s="10"/>
      <c r="AF11" s="10"/>
      <c r="AG11" s="10"/>
      <c r="AH11" s="10"/>
      <c r="AI11" s="10"/>
      <c r="AJ11" s="10"/>
      <c r="AK11" s="10"/>
      <c r="AL11" s="10"/>
      <c r="AM11" s="10"/>
      <c r="AN11" s="10"/>
      <c r="AO11" s="10"/>
      <c r="AP11" s="10"/>
      <c r="AQ11" s="10"/>
      <c r="AR11" s="10"/>
      <c r="AS11" s="10"/>
    </row>
    <row r="12" spans="1:45" ht="13">
      <c r="A12" s="10">
        <v>2022</v>
      </c>
      <c r="B12" s="10" t="s">
        <v>52</v>
      </c>
      <c r="C12" s="10" t="s">
        <v>12</v>
      </c>
      <c r="D12" s="10" t="s">
        <v>13</v>
      </c>
      <c r="E12" s="10">
        <v>1</v>
      </c>
      <c r="F12" s="268"/>
      <c r="G12" s="27" t="s">
        <v>21</v>
      </c>
      <c r="H12" s="255" t="s">
        <v>22</v>
      </c>
      <c r="I12" s="257" t="s">
        <v>416</v>
      </c>
      <c r="J12" s="257" t="s">
        <v>417</v>
      </c>
      <c r="K12" s="257" t="s">
        <v>436</v>
      </c>
      <c r="L12" s="27" t="s">
        <v>1418</v>
      </c>
      <c r="M12" s="36"/>
      <c r="N12" s="4" t="s">
        <v>49</v>
      </c>
      <c r="O12" s="4" t="s">
        <v>1404</v>
      </c>
      <c r="P12" s="29"/>
      <c r="Q12" s="4" t="s">
        <v>49</v>
      </c>
      <c r="R12" s="4" t="s">
        <v>325</v>
      </c>
      <c r="S12" s="10"/>
      <c r="T12" s="4" t="s">
        <v>39</v>
      </c>
      <c r="U12" s="4" t="s">
        <v>1409</v>
      </c>
      <c r="V12" s="10"/>
      <c r="W12" s="4" t="s">
        <v>49</v>
      </c>
      <c r="X12" s="30" t="s">
        <v>532</v>
      </c>
      <c r="Y12" s="10"/>
      <c r="Z12" s="27" t="s">
        <v>21</v>
      </c>
      <c r="AA12" s="27" t="s">
        <v>1026</v>
      </c>
      <c r="AB12" s="27" t="s">
        <v>1412</v>
      </c>
      <c r="AC12" s="10"/>
      <c r="AD12" s="10"/>
      <c r="AE12" s="10"/>
      <c r="AF12" s="10"/>
      <c r="AG12" s="10"/>
      <c r="AH12" s="10"/>
      <c r="AI12" s="10"/>
      <c r="AJ12" s="10"/>
      <c r="AK12" s="10"/>
      <c r="AL12" s="10"/>
      <c r="AM12" s="10"/>
      <c r="AN12" s="10"/>
      <c r="AO12" s="10"/>
      <c r="AP12" s="10"/>
      <c r="AQ12" s="10"/>
      <c r="AR12" s="10"/>
      <c r="AS12" s="10"/>
    </row>
    <row r="13" spans="1:45" ht="13">
      <c r="A13" s="10">
        <v>2022</v>
      </c>
      <c r="B13" s="10" t="s">
        <v>24</v>
      </c>
      <c r="C13" s="10" t="s">
        <v>25</v>
      </c>
      <c r="D13" s="10" t="s">
        <v>13</v>
      </c>
      <c r="E13" s="10">
        <v>1</v>
      </c>
      <c r="F13" s="268"/>
      <c r="G13" s="34" t="s">
        <v>21</v>
      </c>
      <c r="H13" s="256"/>
      <c r="I13" s="254"/>
      <c r="J13" s="254"/>
      <c r="K13" s="254"/>
      <c r="L13" s="32" t="s">
        <v>1407</v>
      </c>
      <c r="M13" s="36"/>
      <c r="N13" s="4" t="s">
        <v>53</v>
      </c>
      <c r="O13" s="4" t="s">
        <v>1404</v>
      </c>
      <c r="P13" s="29"/>
      <c r="Q13" s="4" t="s">
        <v>53</v>
      </c>
      <c r="R13" s="4" t="s">
        <v>443</v>
      </c>
      <c r="S13" s="10"/>
      <c r="T13" s="4" t="s">
        <v>39</v>
      </c>
      <c r="U13" s="4" t="s">
        <v>1425</v>
      </c>
      <c r="V13" s="10"/>
      <c r="W13" s="4" t="s">
        <v>53</v>
      </c>
      <c r="X13" s="30" t="s">
        <v>532</v>
      </c>
      <c r="Y13" s="10"/>
      <c r="Z13" s="32" t="s">
        <v>21</v>
      </c>
      <c r="AA13" s="32" t="s">
        <v>1416</v>
      </c>
      <c r="AB13" s="32"/>
      <c r="AC13" s="10"/>
      <c r="AD13" s="10"/>
      <c r="AE13" s="10"/>
      <c r="AF13" s="10"/>
      <c r="AG13" s="10"/>
      <c r="AH13" s="10"/>
      <c r="AI13" s="10"/>
      <c r="AJ13" s="10"/>
      <c r="AK13" s="10"/>
      <c r="AL13" s="10"/>
      <c r="AM13" s="10"/>
      <c r="AN13" s="10"/>
      <c r="AO13" s="10"/>
      <c r="AP13" s="10"/>
      <c r="AQ13" s="10"/>
      <c r="AR13" s="10"/>
      <c r="AS13" s="10"/>
    </row>
    <row r="14" spans="1:45" ht="13">
      <c r="A14" s="10">
        <v>2022</v>
      </c>
      <c r="B14" s="10" t="s">
        <v>59</v>
      </c>
      <c r="C14" s="10" t="s">
        <v>12</v>
      </c>
      <c r="D14" s="10" t="s">
        <v>20</v>
      </c>
      <c r="E14" s="10">
        <v>2</v>
      </c>
      <c r="F14" s="268"/>
      <c r="G14" s="27" t="s">
        <v>26</v>
      </c>
      <c r="H14" s="264" t="s">
        <v>27</v>
      </c>
      <c r="I14" s="264" t="s">
        <v>440</v>
      </c>
      <c r="J14" s="264" t="s">
        <v>441</v>
      </c>
      <c r="K14" s="257" t="s">
        <v>459</v>
      </c>
      <c r="L14" s="27" t="s">
        <v>1407</v>
      </c>
      <c r="M14" s="36"/>
      <c r="N14" s="4" t="s">
        <v>56</v>
      </c>
      <c r="O14" s="4" t="s">
        <v>1404</v>
      </c>
      <c r="P14" s="29"/>
      <c r="Q14" s="4" t="s">
        <v>56</v>
      </c>
      <c r="R14" s="4" t="s">
        <v>1426</v>
      </c>
      <c r="S14" s="10"/>
      <c r="T14" s="4" t="s">
        <v>43</v>
      </c>
      <c r="U14" s="4" t="s">
        <v>488</v>
      </c>
      <c r="V14" s="10"/>
      <c r="W14" s="4" t="s">
        <v>56</v>
      </c>
      <c r="X14" s="4" t="s">
        <v>366</v>
      </c>
      <c r="Y14" s="10"/>
      <c r="Z14" s="32" t="s">
        <v>21</v>
      </c>
      <c r="AA14" s="34" t="s">
        <v>692</v>
      </c>
      <c r="AB14" s="34" t="s">
        <v>1427</v>
      </c>
      <c r="AC14" s="10"/>
      <c r="AD14" s="10"/>
      <c r="AE14" s="10"/>
      <c r="AF14" s="10"/>
      <c r="AG14" s="10"/>
      <c r="AH14" s="10"/>
      <c r="AI14" s="10"/>
      <c r="AJ14" s="10"/>
      <c r="AK14" s="10"/>
      <c r="AL14" s="10"/>
      <c r="AM14" s="10"/>
      <c r="AN14" s="10"/>
      <c r="AO14" s="10"/>
      <c r="AP14" s="10"/>
      <c r="AQ14" s="10"/>
      <c r="AR14" s="10"/>
      <c r="AS14" s="10"/>
    </row>
    <row r="15" spans="1:45" ht="13">
      <c r="A15" s="10">
        <v>2022</v>
      </c>
      <c r="B15" s="10" t="s">
        <v>63</v>
      </c>
      <c r="C15" s="10" t="s">
        <v>12</v>
      </c>
      <c r="D15" s="10" t="s">
        <v>64</v>
      </c>
      <c r="E15" s="10">
        <v>2</v>
      </c>
      <c r="F15" s="268"/>
      <c r="G15" s="32" t="s">
        <v>26</v>
      </c>
      <c r="H15" s="258"/>
      <c r="I15" s="258"/>
      <c r="J15" s="258"/>
      <c r="K15" s="258"/>
      <c r="L15" s="32" t="s">
        <v>1414</v>
      </c>
      <c r="M15" s="36"/>
      <c r="N15" s="4" t="s">
        <v>60</v>
      </c>
      <c r="O15" s="4" t="s">
        <v>619</v>
      </c>
      <c r="P15" s="29"/>
      <c r="Q15" s="4" t="s">
        <v>60</v>
      </c>
      <c r="R15" s="4" t="s">
        <v>325</v>
      </c>
      <c r="S15" s="10"/>
      <c r="T15" s="4" t="s">
        <v>43</v>
      </c>
      <c r="U15" s="4" t="s">
        <v>1415</v>
      </c>
      <c r="V15" s="10"/>
      <c r="W15" s="4" t="s">
        <v>60</v>
      </c>
      <c r="X15" s="4" t="s">
        <v>532</v>
      </c>
      <c r="Y15" s="10"/>
      <c r="Z15" s="27" t="s">
        <v>26</v>
      </c>
      <c r="AA15" s="10" t="s">
        <v>1428</v>
      </c>
      <c r="AB15" s="27" t="s">
        <v>1406</v>
      </c>
      <c r="AC15" s="10"/>
      <c r="AD15" s="10"/>
      <c r="AE15" s="10"/>
      <c r="AF15" s="10"/>
      <c r="AG15" s="10"/>
      <c r="AH15" s="10"/>
      <c r="AI15" s="10"/>
      <c r="AJ15" s="10"/>
      <c r="AK15" s="10"/>
      <c r="AL15" s="10"/>
      <c r="AM15" s="10"/>
      <c r="AN15" s="10"/>
      <c r="AO15" s="10"/>
      <c r="AP15" s="10"/>
      <c r="AQ15" s="10"/>
      <c r="AR15" s="10"/>
      <c r="AS15" s="10"/>
    </row>
    <row r="16" spans="1:45" ht="13">
      <c r="A16" s="10">
        <v>2021</v>
      </c>
      <c r="B16" s="10" t="s">
        <v>68</v>
      </c>
      <c r="C16" s="10" t="s">
        <v>47</v>
      </c>
      <c r="D16" s="10" t="s">
        <v>64</v>
      </c>
      <c r="E16" s="10">
        <v>2</v>
      </c>
      <c r="F16" s="268"/>
      <c r="G16" s="32" t="s">
        <v>26</v>
      </c>
      <c r="H16" s="254"/>
      <c r="I16" s="254"/>
      <c r="J16" s="254"/>
      <c r="K16" s="254"/>
      <c r="L16" s="32" t="s">
        <v>1418</v>
      </c>
      <c r="M16" s="36"/>
      <c r="N16" s="4" t="s">
        <v>65</v>
      </c>
      <c r="O16" s="4" t="s">
        <v>1408</v>
      </c>
      <c r="P16" s="29"/>
      <c r="Q16" s="4" t="s">
        <v>65</v>
      </c>
      <c r="R16" s="4" t="s">
        <v>325</v>
      </c>
      <c r="S16" s="10"/>
      <c r="T16" s="4" t="s">
        <v>49</v>
      </c>
      <c r="U16" s="4" t="s">
        <v>1409</v>
      </c>
      <c r="V16" s="10"/>
      <c r="W16" s="4" t="s">
        <v>65</v>
      </c>
      <c r="X16" s="4" t="s">
        <v>366</v>
      </c>
      <c r="Y16" s="10"/>
      <c r="Z16" s="32" t="s">
        <v>26</v>
      </c>
      <c r="AA16" s="32" t="s">
        <v>1411</v>
      </c>
      <c r="AB16" s="32"/>
      <c r="AC16" s="10"/>
      <c r="AD16" s="10"/>
      <c r="AE16" s="10"/>
      <c r="AF16" s="10"/>
      <c r="AG16" s="10"/>
      <c r="AH16" s="10"/>
      <c r="AI16" s="10"/>
      <c r="AJ16" s="10"/>
      <c r="AK16" s="10"/>
      <c r="AL16" s="10"/>
      <c r="AM16" s="10"/>
      <c r="AN16" s="10"/>
      <c r="AO16" s="10"/>
      <c r="AP16" s="10"/>
      <c r="AQ16" s="10"/>
      <c r="AR16" s="10"/>
      <c r="AS16" s="10"/>
    </row>
    <row r="17" spans="1:45" ht="13">
      <c r="A17" s="10">
        <v>2021</v>
      </c>
      <c r="B17" s="10" t="s">
        <v>24</v>
      </c>
      <c r="C17" s="10" t="s">
        <v>25</v>
      </c>
      <c r="D17" s="10" t="s">
        <v>20</v>
      </c>
      <c r="E17" s="10">
        <v>2</v>
      </c>
      <c r="F17" s="268"/>
      <c r="G17" s="27" t="s">
        <v>29</v>
      </c>
      <c r="H17" s="255" t="s">
        <v>30</v>
      </c>
      <c r="I17" s="257" t="s">
        <v>484</v>
      </c>
      <c r="J17" s="257" t="s">
        <v>485</v>
      </c>
      <c r="K17" s="259" t="s">
        <v>502</v>
      </c>
      <c r="L17" s="27" t="s">
        <v>1407</v>
      </c>
      <c r="M17" s="36"/>
      <c r="N17" s="4" t="s">
        <v>69</v>
      </c>
      <c r="O17" s="4" t="s">
        <v>619</v>
      </c>
      <c r="P17" s="29"/>
      <c r="Q17" s="4" t="s">
        <v>69</v>
      </c>
      <c r="R17" s="4" t="s">
        <v>325</v>
      </c>
      <c r="S17" s="10"/>
      <c r="T17" s="4" t="s">
        <v>49</v>
      </c>
      <c r="U17" s="4" t="s">
        <v>488</v>
      </c>
      <c r="V17" s="10"/>
      <c r="W17" s="4" t="s">
        <v>69</v>
      </c>
      <c r="X17" s="4" t="s">
        <v>1410</v>
      </c>
      <c r="Y17" s="10"/>
      <c r="Z17" s="32" t="s">
        <v>26</v>
      </c>
      <c r="AA17" s="32" t="s">
        <v>692</v>
      </c>
      <c r="AB17" s="34"/>
      <c r="AC17" s="10"/>
      <c r="AD17" s="10"/>
      <c r="AE17" s="10"/>
      <c r="AF17" s="10"/>
      <c r="AG17" s="10"/>
      <c r="AH17" s="10"/>
      <c r="AI17" s="10"/>
      <c r="AJ17" s="10"/>
      <c r="AK17" s="10"/>
      <c r="AL17" s="10"/>
      <c r="AM17" s="10"/>
      <c r="AN17" s="10"/>
      <c r="AO17" s="10"/>
      <c r="AP17" s="10"/>
      <c r="AQ17" s="10"/>
      <c r="AR17" s="10"/>
      <c r="AS17" s="10"/>
    </row>
    <row r="18" spans="1:45" ht="13">
      <c r="A18" s="10">
        <v>2021</v>
      </c>
      <c r="B18" s="10" t="s">
        <v>63</v>
      </c>
      <c r="C18" s="10" t="s">
        <v>12</v>
      </c>
      <c r="D18" s="10" t="s">
        <v>64</v>
      </c>
      <c r="E18" s="10">
        <v>3</v>
      </c>
      <c r="F18" s="268"/>
      <c r="G18" s="34" t="s">
        <v>29</v>
      </c>
      <c r="H18" s="256"/>
      <c r="I18" s="254"/>
      <c r="J18" s="254"/>
      <c r="K18" s="260"/>
      <c r="L18" s="34" t="s">
        <v>1421</v>
      </c>
      <c r="M18" s="36"/>
      <c r="N18" s="4" t="s">
        <v>72</v>
      </c>
      <c r="O18" s="4" t="s">
        <v>619</v>
      </c>
      <c r="P18" s="29"/>
      <c r="Q18" s="4" t="s">
        <v>72</v>
      </c>
      <c r="R18" s="4" t="s">
        <v>1426</v>
      </c>
      <c r="S18" s="10"/>
      <c r="T18" s="4" t="s">
        <v>53</v>
      </c>
      <c r="U18" s="4" t="s">
        <v>488</v>
      </c>
      <c r="V18" s="10"/>
      <c r="W18" s="4" t="s">
        <v>72</v>
      </c>
      <c r="X18" s="4" t="s">
        <v>1410</v>
      </c>
      <c r="Y18" s="10"/>
      <c r="Z18" s="31" t="s">
        <v>29</v>
      </c>
      <c r="AA18" s="27" t="s">
        <v>1405</v>
      </c>
      <c r="AB18" s="27" t="s">
        <v>1412</v>
      </c>
      <c r="AC18" s="10"/>
      <c r="AD18" s="10"/>
      <c r="AE18" s="10"/>
      <c r="AF18" s="10"/>
      <c r="AG18" s="10"/>
      <c r="AH18" s="10"/>
      <c r="AI18" s="10"/>
      <c r="AJ18" s="10"/>
      <c r="AK18" s="10"/>
      <c r="AL18" s="10"/>
      <c r="AM18" s="10"/>
      <c r="AN18" s="10"/>
      <c r="AO18" s="10"/>
      <c r="AP18" s="10"/>
      <c r="AQ18" s="10"/>
      <c r="AR18" s="10"/>
      <c r="AS18" s="10"/>
    </row>
    <row r="19" spans="1:45" ht="13">
      <c r="A19" s="10">
        <v>2021</v>
      </c>
      <c r="B19" s="10" t="s">
        <v>78</v>
      </c>
      <c r="C19" s="10" t="s">
        <v>25</v>
      </c>
      <c r="D19" s="10" t="s">
        <v>64</v>
      </c>
      <c r="E19" s="10">
        <v>3</v>
      </c>
      <c r="F19" s="268"/>
      <c r="G19" s="32" t="s">
        <v>32</v>
      </c>
      <c r="H19" s="257" t="s">
        <v>33</v>
      </c>
      <c r="I19" s="257" t="s">
        <v>530</v>
      </c>
      <c r="J19" s="257" t="s">
        <v>531</v>
      </c>
      <c r="K19" s="257" t="s">
        <v>549</v>
      </c>
      <c r="L19" s="32" t="s">
        <v>1429</v>
      </c>
      <c r="M19" s="36"/>
      <c r="N19" s="4" t="s">
        <v>75</v>
      </c>
      <c r="O19" s="4" t="s">
        <v>619</v>
      </c>
      <c r="P19" s="29"/>
      <c r="Q19" s="4" t="s">
        <v>75</v>
      </c>
      <c r="R19" s="4" t="s">
        <v>325</v>
      </c>
      <c r="S19" s="10"/>
      <c r="T19" s="4" t="s">
        <v>53</v>
      </c>
      <c r="U19" s="4" t="s">
        <v>1415</v>
      </c>
      <c r="V19" s="10"/>
      <c r="W19" s="4" t="s">
        <v>75</v>
      </c>
      <c r="X19" s="4" t="s">
        <v>788</v>
      </c>
      <c r="Y19" s="10"/>
      <c r="Z19" s="33" t="s">
        <v>29</v>
      </c>
      <c r="AA19" s="32" t="s">
        <v>1423</v>
      </c>
      <c r="AB19" s="34" t="s">
        <v>1424</v>
      </c>
      <c r="AC19" s="10"/>
      <c r="AD19" s="10"/>
      <c r="AE19" s="10"/>
      <c r="AF19" s="10"/>
      <c r="AG19" s="10"/>
      <c r="AH19" s="10"/>
      <c r="AI19" s="10"/>
      <c r="AJ19" s="10"/>
      <c r="AK19" s="10"/>
      <c r="AL19" s="10"/>
      <c r="AM19" s="10"/>
      <c r="AN19" s="10"/>
      <c r="AO19" s="10"/>
      <c r="AP19" s="10"/>
      <c r="AQ19" s="10"/>
      <c r="AR19" s="10"/>
      <c r="AS19" s="10"/>
    </row>
    <row r="20" spans="1:45" ht="13">
      <c r="A20" s="10">
        <v>2021</v>
      </c>
      <c r="B20" s="10" t="s">
        <v>82</v>
      </c>
      <c r="C20" s="10" t="s">
        <v>12</v>
      </c>
      <c r="D20" s="10" t="s">
        <v>83</v>
      </c>
      <c r="E20" s="10">
        <v>3</v>
      </c>
      <c r="F20" s="268"/>
      <c r="G20" s="32" t="s">
        <v>32</v>
      </c>
      <c r="H20" s="258"/>
      <c r="I20" s="258"/>
      <c r="J20" s="258"/>
      <c r="K20" s="258"/>
      <c r="L20" s="32" t="s">
        <v>1403</v>
      </c>
      <c r="M20" s="36"/>
      <c r="N20" s="4" t="s">
        <v>79</v>
      </c>
      <c r="O20" s="4" t="s">
        <v>1404</v>
      </c>
      <c r="P20" s="29"/>
      <c r="Q20" s="4" t="s">
        <v>79</v>
      </c>
      <c r="R20" s="4" t="s">
        <v>325</v>
      </c>
      <c r="S20" s="10"/>
      <c r="T20" s="4" t="s">
        <v>56</v>
      </c>
      <c r="U20" s="4" t="s">
        <v>1409</v>
      </c>
      <c r="V20" s="10"/>
      <c r="W20" s="4" t="s">
        <v>79</v>
      </c>
      <c r="X20" s="4" t="s">
        <v>1410</v>
      </c>
      <c r="Y20" s="10"/>
      <c r="Z20" s="27" t="s">
        <v>32</v>
      </c>
      <c r="AA20" s="37" t="s">
        <v>1411</v>
      </c>
      <c r="AB20" s="27" t="s">
        <v>1412</v>
      </c>
      <c r="AC20" s="10"/>
      <c r="AD20" s="10"/>
      <c r="AE20" s="10"/>
      <c r="AF20" s="10"/>
      <c r="AG20" s="10"/>
      <c r="AH20" s="10"/>
      <c r="AI20" s="10"/>
      <c r="AJ20" s="10"/>
      <c r="AK20" s="10"/>
      <c r="AL20" s="10"/>
      <c r="AM20" s="10"/>
      <c r="AN20" s="10"/>
      <c r="AO20" s="10"/>
      <c r="AP20" s="10"/>
      <c r="AQ20" s="10"/>
      <c r="AR20" s="10"/>
      <c r="AS20" s="10"/>
    </row>
    <row r="21" spans="1:45" ht="13">
      <c r="A21" s="10">
        <v>2021</v>
      </c>
      <c r="B21" s="10" t="s">
        <v>24</v>
      </c>
      <c r="C21" s="10" t="s">
        <v>25</v>
      </c>
      <c r="D21" s="10" t="s">
        <v>20</v>
      </c>
      <c r="E21" s="10">
        <v>4</v>
      </c>
      <c r="F21" s="268"/>
      <c r="G21" s="32" t="s">
        <v>32</v>
      </c>
      <c r="H21" s="254"/>
      <c r="I21" s="254"/>
      <c r="J21" s="254"/>
      <c r="K21" s="254"/>
      <c r="L21" s="32" t="s">
        <v>1407</v>
      </c>
      <c r="M21" s="29"/>
      <c r="N21" s="4" t="s">
        <v>84</v>
      </c>
      <c r="O21" s="4" t="s">
        <v>1404</v>
      </c>
      <c r="P21" s="29"/>
      <c r="Q21" s="4" t="s">
        <v>84</v>
      </c>
      <c r="R21" s="4" t="s">
        <v>1430</v>
      </c>
      <c r="S21" s="10"/>
      <c r="T21" s="4" t="s">
        <v>56</v>
      </c>
      <c r="U21" s="4" t="s">
        <v>488</v>
      </c>
      <c r="V21" s="10"/>
      <c r="W21" s="4" t="s">
        <v>84</v>
      </c>
      <c r="X21" s="4" t="s">
        <v>532</v>
      </c>
      <c r="Y21" s="10"/>
      <c r="Z21" s="32" t="s">
        <v>32</v>
      </c>
      <c r="AA21" s="38" t="s">
        <v>1405</v>
      </c>
      <c r="AB21" s="32"/>
      <c r="AC21" s="10"/>
      <c r="AD21" s="10"/>
      <c r="AE21" s="10"/>
      <c r="AF21" s="10"/>
      <c r="AG21" s="10"/>
      <c r="AH21" s="10"/>
      <c r="AI21" s="10"/>
      <c r="AJ21" s="10"/>
      <c r="AK21" s="10"/>
      <c r="AL21" s="10"/>
      <c r="AM21" s="10"/>
      <c r="AN21" s="10"/>
      <c r="AO21" s="10"/>
      <c r="AP21" s="10"/>
      <c r="AQ21" s="10"/>
      <c r="AR21" s="10"/>
      <c r="AS21" s="10"/>
    </row>
    <row r="22" spans="1:45" ht="13">
      <c r="A22" s="10">
        <v>2021</v>
      </c>
      <c r="B22" s="10" t="s">
        <v>90</v>
      </c>
      <c r="C22" s="10" t="s">
        <v>12</v>
      </c>
      <c r="D22" s="10" t="s">
        <v>20</v>
      </c>
      <c r="E22" s="10">
        <v>4</v>
      </c>
      <c r="F22" s="268"/>
      <c r="G22" s="27" t="s">
        <v>36</v>
      </c>
      <c r="H22" s="255" t="s">
        <v>37</v>
      </c>
      <c r="I22" s="257" t="s">
        <v>552</v>
      </c>
      <c r="J22" s="257" t="s">
        <v>553</v>
      </c>
      <c r="K22" s="259" t="s">
        <v>570</v>
      </c>
      <c r="L22" s="27" t="s">
        <v>1413</v>
      </c>
      <c r="M22" s="29"/>
      <c r="N22" s="4" t="s">
        <v>87</v>
      </c>
      <c r="O22" s="4" t="s">
        <v>619</v>
      </c>
      <c r="P22" s="29"/>
      <c r="Q22" s="4" t="s">
        <v>87</v>
      </c>
      <c r="R22" s="4" t="s">
        <v>1426</v>
      </c>
      <c r="S22" s="10"/>
      <c r="T22" s="4" t="s">
        <v>60</v>
      </c>
      <c r="U22" s="4" t="s">
        <v>1415</v>
      </c>
      <c r="V22" s="10"/>
      <c r="W22" s="4" t="s">
        <v>87</v>
      </c>
      <c r="X22" s="4" t="s">
        <v>366</v>
      </c>
      <c r="Y22" s="10"/>
      <c r="Z22" s="32" t="s">
        <v>32</v>
      </c>
      <c r="AA22" s="38"/>
      <c r="AB22" s="27" t="s">
        <v>1406</v>
      </c>
      <c r="AC22" s="10"/>
      <c r="AD22" s="10"/>
      <c r="AE22" s="10"/>
      <c r="AF22" s="10"/>
      <c r="AG22" s="10"/>
      <c r="AH22" s="10"/>
      <c r="AI22" s="10"/>
      <c r="AJ22" s="10"/>
      <c r="AK22" s="10"/>
      <c r="AL22" s="10"/>
      <c r="AM22" s="10"/>
      <c r="AN22" s="10"/>
      <c r="AO22" s="10"/>
      <c r="AP22" s="10"/>
      <c r="AQ22" s="10"/>
      <c r="AR22" s="10"/>
      <c r="AS22" s="10"/>
    </row>
    <row r="23" spans="1:45" ht="13">
      <c r="A23" s="10">
        <v>2021</v>
      </c>
      <c r="B23" s="10" t="s">
        <v>94</v>
      </c>
      <c r="C23" s="10" t="s">
        <v>47</v>
      </c>
      <c r="D23" s="10" t="s">
        <v>83</v>
      </c>
      <c r="E23" s="10">
        <v>4</v>
      </c>
      <c r="F23" s="268"/>
      <c r="G23" s="32" t="s">
        <v>36</v>
      </c>
      <c r="H23" s="262"/>
      <c r="I23" s="258"/>
      <c r="J23" s="258"/>
      <c r="K23" s="263"/>
      <c r="L23" s="32" t="s">
        <v>1414</v>
      </c>
      <c r="M23" s="29"/>
      <c r="N23" s="4" t="s">
        <v>91</v>
      </c>
      <c r="O23" s="4" t="s">
        <v>1404</v>
      </c>
      <c r="P23" s="29"/>
      <c r="Q23" s="4" t="s">
        <v>91</v>
      </c>
      <c r="R23" s="4" t="s">
        <v>443</v>
      </c>
      <c r="S23" s="10"/>
      <c r="T23" s="4" t="s">
        <v>60</v>
      </c>
      <c r="U23" s="4" t="s">
        <v>1431</v>
      </c>
      <c r="V23" s="10"/>
      <c r="W23" s="4" t="s">
        <v>91</v>
      </c>
      <c r="X23" s="4" t="s">
        <v>366</v>
      </c>
      <c r="Y23" s="10"/>
      <c r="Z23" s="32" t="s">
        <v>32</v>
      </c>
      <c r="AA23" s="38" t="s">
        <v>692</v>
      </c>
      <c r="AB23" s="32"/>
      <c r="AC23" s="10"/>
      <c r="AD23" s="10"/>
      <c r="AE23" s="10"/>
      <c r="AF23" s="10"/>
      <c r="AG23" s="10"/>
      <c r="AH23" s="10"/>
      <c r="AI23" s="10"/>
      <c r="AJ23" s="10"/>
      <c r="AK23" s="10"/>
      <c r="AL23" s="10"/>
      <c r="AM23" s="10"/>
      <c r="AN23" s="10"/>
      <c r="AO23" s="10"/>
      <c r="AP23" s="10"/>
      <c r="AQ23" s="10"/>
      <c r="AR23" s="10"/>
      <c r="AS23" s="10"/>
    </row>
    <row r="24" spans="1:45" ht="13">
      <c r="A24" s="10">
        <v>2021</v>
      </c>
      <c r="B24" s="10" t="s">
        <v>94</v>
      </c>
      <c r="C24" s="10" t="s">
        <v>47</v>
      </c>
      <c r="D24" s="10" t="s">
        <v>83</v>
      </c>
      <c r="E24" s="10">
        <v>5</v>
      </c>
      <c r="F24" s="268"/>
      <c r="G24" s="32" t="s">
        <v>36</v>
      </c>
      <c r="H24" s="262"/>
      <c r="I24" s="258"/>
      <c r="J24" s="258"/>
      <c r="K24" s="263"/>
      <c r="L24" s="32" t="s">
        <v>1432</v>
      </c>
      <c r="M24" s="29"/>
      <c r="N24" s="4" t="s">
        <v>95</v>
      </c>
      <c r="O24" s="4" t="s">
        <v>1404</v>
      </c>
      <c r="P24" s="29"/>
      <c r="Q24" s="4" t="s">
        <v>95</v>
      </c>
      <c r="R24" s="4" t="s">
        <v>443</v>
      </c>
      <c r="S24" s="10"/>
      <c r="T24" s="4" t="s">
        <v>65</v>
      </c>
      <c r="U24" s="4" t="s">
        <v>488</v>
      </c>
      <c r="V24" s="10"/>
      <c r="W24" s="4" t="s">
        <v>95</v>
      </c>
      <c r="X24" s="4" t="s">
        <v>366</v>
      </c>
      <c r="Y24" s="10"/>
      <c r="Z24" s="32" t="s">
        <v>32</v>
      </c>
      <c r="AA24" s="39"/>
      <c r="AB24" s="34"/>
      <c r="AC24" s="10"/>
      <c r="AD24" s="10"/>
      <c r="AE24" s="10"/>
      <c r="AF24" s="10"/>
      <c r="AG24" s="10"/>
      <c r="AH24" s="10"/>
      <c r="AI24" s="10"/>
      <c r="AJ24" s="10"/>
      <c r="AK24" s="10"/>
      <c r="AL24" s="10"/>
      <c r="AM24" s="10"/>
      <c r="AN24" s="10"/>
      <c r="AO24" s="10"/>
      <c r="AP24" s="10"/>
      <c r="AQ24" s="10"/>
      <c r="AR24" s="10"/>
      <c r="AS24" s="10"/>
    </row>
    <row r="25" spans="1:45" ht="13">
      <c r="A25" s="10">
        <v>2020</v>
      </c>
      <c r="B25" s="10" t="s">
        <v>101</v>
      </c>
      <c r="C25" s="10" t="s">
        <v>12</v>
      </c>
      <c r="D25" s="10" t="s">
        <v>20</v>
      </c>
      <c r="E25" s="10">
        <v>5</v>
      </c>
      <c r="F25" s="268"/>
      <c r="G25" s="34" t="s">
        <v>36</v>
      </c>
      <c r="H25" s="256"/>
      <c r="I25" s="254"/>
      <c r="J25" s="254"/>
      <c r="K25" s="260"/>
      <c r="L25" s="34" t="s">
        <v>1407</v>
      </c>
      <c r="M25" s="36"/>
      <c r="N25" s="4" t="s">
        <v>98</v>
      </c>
      <c r="O25" s="4" t="s">
        <v>908</v>
      </c>
      <c r="P25" s="29"/>
      <c r="Q25" s="4" t="s">
        <v>98</v>
      </c>
      <c r="R25" s="4" t="s">
        <v>909</v>
      </c>
      <c r="S25" s="10"/>
      <c r="T25" s="4" t="s">
        <v>69</v>
      </c>
      <c r="U25" s="4" t="s">
        <v>1415</v>
      </c>
      <c r="V25" s="10"/>
      <c r="W25" s="4" t="s">
        <v>98</v>
      </c>
      <c r="X25" s="4" t="s">
        <v>532</v>
      </c>
      <c r="Y25" s="10"/>
      <c r="Z25" s="27" t="s">
        <v>36</v>
      </c>
      <c r="AA25" s="37" t="s">
        <v>1411</v>
      </c>
      <c r="AB25" s="27" t="s">
        <v>1406</v>
      </c>
      <c r="AC25" s="10"/>
      <c r="AD25" s="10"/>
      <c r="AE25" s="10"/>
      <c r="AF25" s="10"/>
      <c r="AG25" s="10"/>
      <c r="AH25" s="10"/>
      <c r="AI25" s="10"/>
      <c r="AJ25" s="10"/>
      <c r="AK25" s="10"/>
      <c r="AL25" s="10"/>
      <c r="AM25" s="10"/>
      <c r="AN25" s="10"/>
      <c r="AO25" s="10"/>
      <c r="AP25" s="10"/>
      <c r="AQ25" s="10"/>
      <c r="AR25" s="10"/>
      <c r="AS25" s="10"/>
    </row>
    <row r="26" spans="1:45" ht="13">
      <c r="A26" s="10">
        <v>2020</v>
      </c>
      <c r="B26" s="10" t="s">
        <v>105</v>
      </c>
      <c r="C26" s="10" t="s">
        <v>47</v>
      </c>
      <c r="D26" s="10" t="s">
        <v>64</v>
      </c>
      <c r="E26" s="10">
        <v>5</v>
      </c>
      <c r="F26" s="268"/>
      <c r="G26" s="32" t="s">
        <v>39</v>
      </c>
      <c r="H26" s="255" t="s">
        <v>40</v>
      </c>
      <c r="I26" s="257" t="s">
        <v>596</v>
      </c>
      <c r="J26" s="257" t="s">
        <v>597</v>
      </c>
      <c r="K26" s="257" t="s">
        <v>613</v>
      </c>
      <c r="L26" s="32" t="s">
        <v>1418</v>
      </c>
      <c r="M26" s="36"/>
      <c r="N26" s="4" t="s">
        <v>102</v>
      </c>
      <c r="O26" s="4" t="s">
        <v>1433</v>
      </c>
      <c r="P26" s="29"/>
      <c r="Q26" s="4" t="s">
        <v>102</v>
      </c>
      <c r="R26" s="4" t="s">
        <v>1433</v>
      </c>
      <c r="S26" s="10"/>
      <c r="T26" s="4" t="s">
        <v>72</v>
      </c>
      <c r="U26" s="4" t="s">
        <v>1354</v>
      </c>
      <c r="V26" s="10"/>
      <c r="W26" s="4" t="s">
        <v>102</v>
      </c>
      <c r="X26" s="4" t="s">
        <v>532</v>
      </c>
      <c r="Y26" s="10"/>
      <c r="Z26" s="32" t="s">
        <v>36</v>
      </c>
      <c r="AA26" s="38" t="s">
        <v>692</v>
      </c>
      <c r="AB26" s="32" t="s">
        <v>1427</v>
      </c>
      <c r="AC26" s="10"/>
      <c r="AD26" s="10"/>
      <c r="AE26" s="10"/>
      <c r="AF26" s="10"/>
      <c r="AG26" s="10"/>
      <c r="AH26" s="10"/>
      <c r="AI26" s="10"/>
      <c r="AJ26" s="10"/>
      <c r="AK26" s="10"/>
      <c r="AL26" s="10"/>
      <c r="AM26" s="10"/>
      <c r="AN26" s="10"/>
      <c r="AO26" s="10"/>
      <c r="AP26" s="10"/>
      <c r="AQ26" s="10"/>
      <c r="AR26" s="10"/>
      <c r="AS26" s="10"/>
    </row>
    <row r="27" spans="1:45" ht="13">
      <c r="A27" s="10">
        <v>2020</v>
      </c>
      <c r="B27" s="10" t="s">
        <v>109</v>
      </c>
      <c r="C27" s="10" t="s">
        <v>47</v>
      </c>
      <c r="D27" s="10" t="s">
        <v>64</v>
      </c>
      <c r="E27" s="10">
        <v>6</v>
      </c>
      <c r="F27" s="268"/>
      <c r="G27" s="34" t="s">
        <v>39</v>
      </c>
      <c r="H27" s="256"/>
      <c r="I27" s="254"/>
      <c r="J27" s="254"/>
      <c r="K27" s="254"/>
      <c r="L27" s="34" t="s">
        <v>1407</v>
      </c>
      <c r="M27" s="36"/>
      <c r="N27" s="4" t="s">
        <v>106</v>
      </c>
      <c r="O27" s="4" t="s">
        <v>908</v>
      </c>
      <c r="P27" s="29"/>
      <c r="Q27" s="4" t="s">
        <v>106</v>
      </c>
      <c r="R27" s="4" t="s">
        <v>325</v>
      </c>
      <c r="S27" s="10"/>
      <c r="T27" s="4" t="s">
        <v>75</v>
      </c>
      <c r="U27" s="4" t="s">
        <v>1415</v>
      </c>
      <c r="V27" s="10"/>
      <c r="W27" s="4" t="s">
        <v>106</v>
      </c>
      <c r="X27" s="4" t="s">
        <v>532</v>
      </c>
      <c r="Y27" s="10"/>
      <c r="Z27" s="32" t="s">
        <v>36</v>
      </c>
      <c r="AA27" s="39"/>
      <c r="AB27" s="32"/>
      <c r="AC27" s="10"/>
      <c r="AD27" s="10"/>
      <c r="AE27" s="10"/>
      <c r="AF27" s="10"/>
      <c r="AG27" s="10"/>
      <c r="AH27" s="10"/>
      <c r="AI27" s="10"/>
      <c r="AJ27" s="10"/>
      <c r="AK27" s="10"/>
      <c r="AL27" s="10"/>
      <c r="AM27" s="10"/>
      <c r="AN27" s="10"/>
      <c r="AO27" s="10"/>
      <c r="AP27" s="10"/>
      <c r="AQ27" s="10"/>
      <c r="AR27" s="10"/>
      <c r="AS27" s="10"/>
    </row>
    <row r="28" spans="1:45" ht="13">
      <c r="A28" s="10">
        <v>2020</v>
      </c>
      <c r="B28" s="10" t="s">
        <v>113</v>
      </c>
      <c r="C28" s="10" t="s">
        <v>47</v>
      </c>
      <c r="D28" s="10" t="s">
        <v>48</v>
      </c>
      <c r="E28" s="10">
        <v>7</v>
      </c>
      <c r="F28" s="268"/>
      <c r="G28" s="32" t="s">
        <v>43</v>
      </c>
      <c r="H28" s="257" t="s">
        <v>44</v>
      </c>
      <c r="I28" s="257" t="s">
        <v>617</v>
      </c>
      <c r="J28" s="257" t="s">
        <v>1434</v>
      </c>
      <c r="K28" s="257" t="s">
        <v>637</v>
      </c>
      <c r="L28" s="27" t="s">
        <v>1407</v>
      </c>
      <c r="M28" s="36"/>
      <c r="N28" s="4" t="s">
        <v>106</v>
      </c>
      <c r="O28" s="4" t="s">
        <v>619</v>
      </c>
      <c r="P28" s="29"/>
      <c r="Q28" s="4" t="s">
        <v>110</v>
      </c>
      <c r="R28" s="4" t="s">
        <v>325</v>
      </c>
      <c r="S28" s="10"/>
      <c r="T28" s="4" t="s">
        <v>79</v>
      </c>
      <c r="U28" s="4" t="s">
        <v>1409</v>
      </c>
      <c r="V28" s="10"/>
      <c r="W28" s="4" t="s">
        <v>110</v>
      </c>
      <c r="X28" s="4" t="s">
        <v>486</v>
      </c>
      <c r="Y28" s="10"/>
      <c r="Z28" s="27" t="s">
        <v>39</v>
      </c>
      <c r="AA28" s="40" t="s">
        <v>1435</v>
      </c>
      <c r="AB28" s="27" t="s">
        <v>1412</v>
      </c>
      <c r="AC28" s="10"/>
      <c r="AD28" s="10"/>
      <c r="AE28" s="10"/>
      <c r="AF28" s="10"/>
      <c r="AG28" s="10"/>
      <c r="AH28" s="10"/>
      <c r="AI28" s="10"/>
      <c r="AJ28" s="10"/>
      <c r="AK28" s="10"/>
      <c r="AL28" s="10"/>
      <c r="AM28" s="10"/>
      <c r="AN28" s="10"/>
      <c r="AO28" s="10"/>
      <c r="AP28" s="10"/>
      <c r="AQ28" s="10"/>
      <c r="AR28" s="10"/>
      <c r="AS28" s="10"/>
    </row>
    <row r="29" spans="1:45" ht="13">
      <c r="A29" s="10">
        <v>2019</v>
      </c>
      <c r="B29" s="10" t="s">
        <v>117</v>
      </c>
      <c r="C29" s="10" t="s">
        <v>47</v>
      </c>
      <c r="D29" s="10" t="s">
        <v>118</v>
      </c>
      <c r="E29" s="10">
        <v>8</v>
      </c>
      <c r="F29" s="268"/>
      <c r="G29" s="32" t="s">
        <v>43</v>
      </c>
      <c r="H29" s="258"/>
      <c r="I29" s="258"/>
      <c r="J29" s="258"/>
      <c r="K29" s="258"/>
      <c r="L29" s="32" t="s">
        <v>1417</v>
      </c>
      <c r="M29" s="36"/>
      <c r="N29" s="4" t="s">
        <v>110</v>
      </c>
      <c r="O29" s="4" t="s">
        <v>1436</v>
      </c>
      <c r="P29" s="29"/>
      <c r="Q29" s="4" t="s">
        <v>114</v>
      </c>
      <c r="R29" s="4" t="s">
        <v>325</v>
      </c>
      <c r="S29" s="10"/>
      <c r="T29" s="4" t="s">
        <v>84</v>
      </c>
      <c r="U29" s="4" t="s">
        <v>1409</v>
      </c>
      <c r="V29" s="10"/>
      <c r="W29" s="4" t="s">
        <v>114</v>
      </c>
      <c r="X29" s="4" t="s">
        <v>532</v>
      </c>
      <c r="Y29" s="10"/>
      <c r="Z29" s="32" t="s">
        <v>39</v>
      </c>
      <c r="AA29" s="41" t="s">
        <v>692</v>
      </c>
      <c r="AB29" s="34" t="s">
        <v>1406</v>
      </c>
      <c r="AC29" s="10"/>
      <c r="AD29" s="10"/>
      <c r="AE29" s="10"/>
      <c r="AF29" s="10"/>
      <c r="AG29" s="10"/>
      <c r="AH29" s="10"/>
      <c r="AI29" s="10"/>
      <c r="AJ29" s="10"/>
      <c r="AK29" s="10"/>
      <c r="AL29" s="10"/>
      <c r="AM29" s="10"/>
      <c r="AN29" s="10"/>
      <c r="AO29" s="10"/>
      <c r="AP29" s="10"/>
      <c r="AQ29" s="10"/>
      <c r="AR29" s="10"/>
      <c r="AS29" s="10"/>
    </row>
    <row r="30" spans="1:45" ht="13">
      <c r="A30" s="10">
        <v>2019</v>
      </c>
      <c r="B30" s="10" t="s">
        <v>122</v>
      </c>
      <c r="C30" s="10" t="s">
        <v>47</v>
      </c>
      <c r="D30" s="10" t="s">
        <v>64</v>
      </c>
      <c r="E30" s="10">
        <v>10</v>
      </c>
      <c r="F30" s="268"/>
      <c r="G30" s="32" t="s">
        <v>43</v>
      </c>
      <c r="H30" s="254"/>
      <c r="I30" s="254"/>
      <c r="J30" s="254"/>
      <c r="K30" s="254"/>
      <c r="L30" s="34" t="s">
        <v>1403</v>
      </c>
      <c r="M30" s="36"/>
      <c r="N30" s="4" t="s">
        <v>114</v>
      </c>
      <c r="O30" s="4" t="s">
        <v>619</v>
      </c>
      <c r="P30" s="29"/>
      <c r="Q30" s="4" t="s">
        <v>119</v>
      </c>
      <c r="R30" s="4" t="s">
        <v>325</v>
      </c>
      <c r="S30" s="10"/>
      <c r="T30" s="4" t="s">
        <v>87</v>
      </c>
      <c r="U30" s="4" t="s">
        <v>1354</v>
      </c>
      <c r="V30" s="10"/>
      <c r="W30" s="4" t="s">
        <v>119</v>
      </c>
      <c r="X30" s="4" t="s">
        <v>532</v>
      </c>
      <c r="Y30" s="10"/>
      <c r="Z30" s="27" t="s">
        <v>43</v>
      </c>
      <c r="AA30" s="37" t="s">
        <v>1405</v>
      </c>
      <c r="AB30" s="32" t="s">
        <v>1437</v>
      </c>
      <c r="AC30" s="10"/>
      <c r="AD30" s="10"/>
      <c r="AE30" s="10"/>
      <c r="AF30" s="10"/>
      <c r="AG30" s="10"/>
      <c r="AH30" s="10"/>
      <c r="AI30" s="10"/>
      <c r="AJ30" s="10"/>
      <c r="AK30" s="10"/>
      <c r="AL30" s="10"/>
      <c r="AM30" s="10"/>
      <c r="AN30" s="10"/>
      <c r="AO30" s="10"/>
      <c r="AP30" s="10"/>
      <c r="AQ30" s="10"/>
      <c r="AR30" s="10"/>
      <c r="AS30" s="10"/>
    </row>
    <row r="31" spans="1:45" ht="13">
      <c r="A31" s="10">
        <v>2019</v>
      </c>
      <c r="B31" s="10" t="s">
        <v>127</v>
      </c>
      <c r="C31" s="10" t="s">
        <v>47</v>
      </c>
      <c r="D31" s="10" t="s">
        <v>128</v>
      </c>
      <c r="E31" s="10">
        <v>10</v>
      </c>
      <c r="F31" s="268"/>
      <c r="G31" s="27" t="s">
        <v>49</v>
      </c>
      <c r="H31" s="255" t="s">
        <v>50</v>
      </c>
      <c r="I31" s="257" t="s">
        <v>640</v>
      </c>
      <c r="J31" s="257" t="s">
        <v>641</v>
      </c>
      <c r="K31" s="257" t="s">
        <v>658</v>
      </c>
      <c r="L31" s="27" t="s">
        <v>1414</v>
      </c>
      <c r="M31" s="36"/>
      <c r="N31" s="4" t="s">
        <v>119</v>
      </c>
      <c r="O31" s="4" t="s">
        <v>619</v>
      </c>
      <c r="P31" s="29"/>
      <c r="Q31" s="4" t="s">
        <v>124</v>
      </c>
      <c r="R31" s="4" t="s">
        <v>1438</v>
      </c>
      <c r="S31" s="10"/>
      <c r="T31" s="4" t="s">
        <v>91</v>
      </c>
      <c r="U31" s="4" t="s">
        <v>1409</v>
      </c>
      <c r="V31" s="10"/>
      <c r="W31" s="4" t="s">
        <v>124</v>
      </c>
      <c r="X31" s="4" t="s">
        <v>788</v>
      </c>
      <c r="Y31" s="10"/>
      <c r="Z31" s="32" t="s">
        <v>43</v>
      </c>
      <c r="AA31" s="38" t="s">
        <v>1423</v>
      </c>
      <c r="AB31" s="32"/>
      <c r="AC31" s="10"/>
      <c r="AD31" s="10"/>
      <c r="AE31" s="10"/>
      <c r="AF31" s="10"/>
      <c r="AG31" s="10"/>
      <c r="AH31" s="10"/>
      <c r="AI31" s="10"/>
      <c r="AJ31" s="10"/>
      <c r="AK31" s="10"/>
      <c r="AL31" s="10"/>
      <c r="AM31" s="10"/>
      <c r="AN31" s="10"/>
      <c r="AO31" s="10"/>
      <c r="AP31" s="10"/>
      <c r="AQ31" s="10"/>
      <c r="AR31" s="10"/>
      <c r="AS31" s="10"/>
    </row>
    <row r="32" spans="1:45" ht="13">
      <c r="A32" s="10">
        <v>2019</v>
      </c>
      <c r="B32" s="10" t="s">
        <v>94</v>
      </c>
      <c r="C32" s="10" t="s">
        <v>47</v>
      </c>
      <c r="D32" s="10" t="s">
        <v>83</v>
      </c>
      <c r="E32" s="10">
        <v>11</v>
      </c>
      <c r="F32" s="268"/>
      <c r="G32" s="32" t="s">
        <v>49</v>
      </c>
      <c r="H32" s="262"/>
      <c r="I32" s="258"/>
      <c r="J32" s="258"/>
      <c r="K32" s="258"/>
      <c r="L32" s="32" t="s">
        <v>1439</v>
      </c>
      <c r="M32" s="36"/>
      <c r="N32" s="4" t="s">
        <v>124</v>
      </c>
      <c r="O32" s="4" t="s">
        <v>619</v>
      </c>
      <c r="P32" s="29"/>
      <c r="Q32" s="4" t="s">
        <v>129</v>
      </c>
      <c r="R32" s="4" t="s">
        <v>443</v>
      </c>
      <c r="S32" s="10"/>
      <c r="T32" s="4" t="s">
        <v>91</v>
      </c>
      <c r="U32" s="4" t="s">
        <v>1415</v>
      </c>
      <c r="V32" s="10"/>
      <c r="W32" s="4" t="s">
        <v>129</v>
      </c>
      <c r="X32" s="4" t="s">
        <v>486</v>
      </c>
      <c r="Y32" s="10"/>
      <c r="Z32" s="32" t="s">
        <v>43</v>
      </c>
      <c r="AA32" s="38"/>
      <c r="AB32" s="34"/>
      <c r="AC32" s="10"/>
      <c r="AD32" s="10"/>
      <c r="AE32" s="10"/>
      <c r="AF32" s="10"/>
      <c r="AG32" s="10"/>
      <c r="AH32" s="10"/>
      <c r="AI32" s="10"/>
      <c r="AJ32" s="10"/>
      <c r="AK32" s="10"/>
      <c r="AL32" s="10"/>
      <c r="AM32" s="10"/>
      <c r="AN32" s="10"/>
      <c r="AO32" s="10"/>
      <c r="AP32" s="10"/>
      <c r="AQ32" s="10"/>
      <c r="AR32" s="10"/>
      <c r="AS32" s="10"/>
    </row>
    <row r="33" spans="1:45" ht="13">
      <c r="A33" s="10">
        <v>2019</v>
      </c>
      <c r="B33" s="10" t="s">
        <v>135</v>
      </c>
      <c r="C33" s="10" t="s">
        <v>12</v>
      </c>
      <c r="D33" s="10" t="s">
        <v>83</v>
      </c>
      <c r="E33" s="10">
        <v>11</v>
      </c>
      <c r="F33" s="268"/>
      <c r="G33" s="32" t="s">
        <v>49</v>
      </c>
      <c r="H33" s="262"/>
      <c r="I33" s="258"/>
      <c r="J33" s="258"/>
      <c r="K33" s="258"/>
      <c r="L33" s="32" t="s">
        <v>1440</v>
      </c>
      <c r="M33" s="36"/>
      <c r="N33" s="4" t="s">
        <v>129</v>
      </c>
      <c r="O33" s="4" t="s">
        <v>1404</v>
      </c>
      <c r="P33" s="29"/>
      <c r="Q33" s="4" t="s">
        <v>132</v>
      </c>
      <c r="R33" s="4" t="s">
        <v>1441</v>
      </c>
      <c r="S33" s="10"/>
      <c r="T33" s="4" t="s">
        <v>95</v>
      </c>
      <c r="U33" s="4" t="s">
        <v>1409</v>
      </c>
      <c r="V33" s="10"/>
      <c r="W33" s="4" t="s">
        <v>132</v>
      </c>
      <c r="X33" s="4" t="s">
        <v>366</v>
      </c>
      <c r="Y33" s="10"/>
      <c r="Z33" s="31" t="s">
        <v>49</v>
      </c>
      <c r="AA33" s="27" t="s">
        <v>1405</v>
      </c>
      <c r="AB33" s="27" t="s">
        <v>1406</v>
      </c>
      <c r="AC33" s="10"/>
      <c r="AD33" s="10"/>
      <c r="AE33" s="10"/>
      <c r="AF33" s="10"/>
      <c r="AG33" s="10"/>
      <c r="AH33" s="10"/>
      <c r="AI33" s="10"/>
      <c r="AJ33" s="10"/>
      <c r="AK33" s="10"/>
      <c r="AL33" s="10"/>
      <c r="AM33" s="10"/>
      <c r="AN33" s="10"/>
      <c r="AO33" s="10"/>
      <c r="AP33" s="10"/>
      <c r="AQ33" s="10"/>
      <c r="AR33" s="10"/>
      <c r="AS33" s="10"/>
    </row>
    <row r="34" spans="1:45" ht="13">
      <c r="A34" s="10">
        <v>2019</v>
      </c>
      <c r="B34" s="10" t="s">
        <v>139</v>
      </c>
      <c r="C34" s="10" t="s">
        <v>47</v>
      </c>
      <c r="D34" s="10" t="s">
        <v>13</v>
      </c>
      <c r="E34" s="10">
        <v>12</v>
      </c>
      <c r="F34" s="268"/>
      <c r="G34" s="34" t="s">
        <v>49</v>
      </c>
      <c r="H34" s="256"/>
      <c r="I34" s="254"/>
      <c r="J34" s="254"/>
      <c r="K34" s="254"/>
      <c r="L34" s="34" t="s">
        <v>1418</v>
      </c>
      <c r="M34" s="36"/>
      <c r="N34" s="4" t="s">
        <v>132</v>
      </c>
      <c r="O34" s="4" t="s">
        <v>908</v>
      </c>
      <c r="P34" s="29"/>
      <c r="Q34" s="4" t="s">
        <v>136</v>
      </c>
      <c r="R34" s="4" t="s">
        <v>1442</v>
      </c>
      <c r="S34" s="10"/>
      <c r="T34" s="4" t="s">
        <v>98</v>
      </c>
      <c r="U34" s="4" t="s">
        <v>1354</v>
      </c>
      <c r="V34" s="10"/>
      <c r="W34" s="4" t="s">
        <v>136</v>
      </c>
      <c r="X34" s="4" t="s">
        <v>366</v>
      </c>
      <c r="Y34" s="10"/>
      <c r="Z34" s="33" t="s">
        <v>49</v>
      </c>
      <c r="AA34" s="32" t="s">
        <v>1026</v>
      </c>
      <c r="AB34" s="32"/>
      <c r="AC34" s="10"/>
      <c r="AD34" s="10"/>
      <c r="AE34" s="10"/>
      <c r="AF34" s="10"/>
      <c r="AG34" s="10"/>
      <c r="AH34" s="10"/>
      <c r="AI34" s="10"/>
      <c r="AJ34" s="10"/>
      <c r="AK34" s="10"/>
      <c r="AL34" s="10"/>
      <c r="AM34" s="10"/>
      <c r="AN34" s="10"/>
      <c r="AO34" s="10"/>
      <c r="AP34" s="10"/>
      <c r="AQ34" s="10"/>
      <c r="AR34" s="10"/>
      <c r="AS34" s="10"/>
    </row>
    <row r="35" spans="1:45" ht="13">
      <c r="A35" s="10">
        <v>2019</v>
      </c>
      <c r="B35" s="10" t="s">
        <v>143</v>
      </c>
      <c r="C35" s="10" t="s">
        <v>47</v>
      </c>
      <c r="D35" s="10" t="s">
        <v>128</v>
      </c>
      <c r="E35" s="10">
        <v>13</v>
      </c>
      <c r="F35" s="268"/>
      <c r="G35" s="32" t="s">
        <v>53</v>
      </c>
      <c r="H35" s="257" t="s">
        <v>54</v>
      </c>
      <c r="I35" s="257" t="s">
        <v>660</v>
      </c>
      <c r="J35" s="257" t="s">
        <v>661</v>
      </c>
      <c r="K35" s="257" t="s">
        <v>1443</v>
      </c>
      <c r="L35" s="27" t="s">
        <v>1439</v>
      </c>
      <c r="M35" s="36"/>
      <c r="N35" s="4" t="s">
        <v>136</v>
      </c>
      <c r="O35" s="4" t="s">
        <v>1404</v>
      </c>
      <c r="P35" s="29"/>
      <c r="Q35" s="4" t="s">
        <v>140</v>
      </c>
      <c r="R35" s="4" t="s">
        <v>1441</v>
      </c>
      <c r="S35" s="10"/>
      <c r="T35" s="4" t="s">
        <v>98</v>
      </c>
      <c r="U35" s="4" t="s">
        <v>1415</v>
      </c>
      <c r="V35" s="10"/>
      <c r="W35" s="4" t="s">
        <v>140</v>
      </c>
      <c r="X35" s="4" t="s">
        <v>486</v>
      </c>
      <c r="Y35" s="10"/>
      <c r="Z35" s="33" t="s">
        <v>49</v>
      </c>
      <c r="AA35" s="32" t="s">
        <v>692</v>
      </c>
      <c r="AB35" s="32"/>
      <c r="AC35" s="10"/>
      <c r="AD35" s="10"/>
      <c r="AE35" s="10"/>
      <c r="AF35" s="10"/>
      <c r="AG35" s="10"/>
      <c r="AH35" s="10"/>
      <c r="AI35" s="10"/>
      <c r="AJ35" s="10"/>
      <c r="AK35" s="10"/>
      <c r="AL35" s="10"/>
      <c r="AM35" s="10"/>
      <c r="AN35" s="10"/>
      <c r="AO35" s="10"/>
      <c r="AP35" s="10"/>
      <c r="AQ35" s="10"/>
      <c r="AR35" s="10"/>
      <c r="AS35" s="10"/>
    </row>
    <row r="36" spans="1:45" ht="13">
      <c r="A36" s="10">
        <v>2019</v>
      </c>
      <c r="B36" s="10" t="s">
        <v>46</v>
      </c>
      <c r="C36" s="10" t="s">
        <v>47</v>
      </c>
      <c r="D36" s="10" t="s">
        <v>48</v>
      </c>
      <c r="E36" s="10">
        <v>13</v>
      </c>
      <c r="F36" s="268"/>
      <c r="G36" s="32" t="s">
        <v>53</v>
      </c>
      <c r="H36" s="254"/>
      <c r="I36" s="254"/>
      <c r="J36" s="254"/>
      <c r="K36" s="254"/>
      <c r="L36" s="34" t="s">
        <v>1418</v>
      </c>
      <c r="M36" s="36"/>
      <c r="N36" s="4" t="s">
        <v>140</v>
      </c>
      <c r="O36" s="4" t="s">
        <v>908</v>
      </c>
      <c r="P36" s="29"/>
      <c r="Q36" s="4" t="s">
        <v>144</v>
      </c>
      <c r="R36" s="4" t="s">
        <v>1426</v>
      </c>
      <c r="S36" s="10"/>
      <c r="T36" s="4" t="s">
        <v>102</v>
      </c>
      <c r="U36" s="4" t="s">
        <v>1354</v>
      </c>
      <c r="V36" s="10"/>
      <c r="W36" s="4" t="s">
        <v>144</v>
      </c>
      <c r="X36" s="4" t="s">
        <v>1410</v>
      </c>
      <c r="Y36" s="10"/>
      <c r="Z36" s="33" t="s">
        <v>49</v>
      </c>
      <c r="AA36" s="32" t="s">
        <v>1435</v>
      </c>
      <c r="AB36" s="32"/>
      <c r="AC36" s="10"/>
      <c r="AD36" s="10"/>
      <c r="AE36" s="10"/>
      <c r="AF36" s="10"/>
      <c r="AG36" s="10"/>
      <c r="AH36" s="10"/>
      <c r="AI36" s="10"/>
      <c r="AJ36" s="10"/>
      <c r="AK36" s="10"/>
      <c r="AL36" s="10"/>
      <c r="AM36" s="10"/>
      <c r="AN36" s="10"/>
      <c r="AO36" s="10"/>
      <c r="AP36" s="10"/>
      <c r="AQ36" s="10"/>
      <c r="AR36" s="10"/>
      <c r="AS36" s="10"/>
    </row>
    <row r="37" spans="1:45" ht="13">
      <c r="A37" s="10">
        <v>2019</v>
      </c>
      <c r="B37" s="10" t="s">
        <v>150</v>
      </c>
      <c r="C37" s="10" t="s">
        <v>12</v>
      </c>
      <c r="D37" s="10" t="s">
        <v>48</v>
      </c>
      <c r="E37" s="10">
        <v>16</v>
      </c>
      <c r="F37" s="268"/>
      <c r="G37" s="27" t="s">
        <v>56</v>
      </c>
      <c r="H37" s="255" t="s">
        <v>57</v>
      </c>
      <c r="I37" s="257" t="s">
        <v>684</v>
      </c>
      <c r="J37" s="257" t="s">
        <v>685</v>
      </c>
      <c r="K37" s="257" t="s">
        <v>700</v>
      </c>
      <c r="L37" s="27" t="s">
        <v>1422</v>
      </c>
      <c r="M37" s="36"/>
      <c r="N37" s="4" t="s">
        <v>140</v>
      </c>
      <c r="O37" s="4" t="s">
        <v>619</v>
      </c>
      <c r="P37" s="29"/>
      <c r="Q37" s="4" t="s">
        <v>147</v>
      </c>
      <c r="R37" s="4" t="s">
        <v>1444</v>
      </c>
      <c r="S37" s="10"/>
      <c r="T37" s="4" t="s">
        <v>102</v>
      </c>
      <c r="U37" s="4" t="s">
        <v>488</v>
      </c>
      <c r="V37" s="10"/>
      <c r="W37" s="4" t="s">
        <v>147</v>
      </c>
      <c r="X37" s="4" t="s">
        <v>532</v>
      </c>
      <c r="Y37" s="10"/>
      <c r="Z37" s="33" t="s">
        <v>49</v>
      </c>
      <c r="AA37" s="32"/>
      <c r="AB37" s="32"/>
      <c r="AC37" s="10"/>
      <c r="AD37" s="10"/>
      <c r="AE37" s="10"/>
      <c r="AF37" s="10"/>
      <c r="AG37" s="10"/>
      <c r="AH37" s="10"/>
      <c r="AI37" s="10"/>
      <c r="AJ37" s="10"/>
      <c r="AK37" s="10"/>
      <c r="AL37" s="10"/>
      <c r="AM37" s="10"/>
      <c r="AN37" s="10"/>
      <c r="AO37" s="10"/>
      <c r="AP37" s="10"/>
      <c r="AQ37" s="10"/>
      <c r="AR37" s="10"/>
      <c r="AS37" s="10"/>
    </row>
    <row r="38" spans="1:45" ht="13">
      <c r="A38" s="10">
        <v>2018</v>
      </c>
      <c r="B38" s="10" t="s">
        <v>154</v>
      </c>
      <c r="C38" s="10" t="s">
        <v>12</v>
      </c>
      <c r="D38" s="10" t="s">
        <v>48</v>
      </c>
      <c r="E38" s="10">
        <v>19</v>
      </c>
      <c r="F38" s="268"/>
      <c r="G38" s="32" t="s">
        <v>56</v>
      </c>
      <c r="H38" s="262"/>
      <c r="I38" s="258"/>
      <c r="J38" s="258"/>
      <c r="K38" s="258"/>
      <c r="L38" s="32" t="s">
        <v>1421</v>
      </c>
      <c r="M38" s="36"/>
      <c r="N38" s="4" t="s">
        <v>144</v>
      </c>
      <c r="O38" s="4" t="s">
        <v>619</v>
      </c>
      <c r="P38" s="29"/>
      <c r="Q38" s="4" t="s">
        <v>151</v>
      </c>
      <c r="R38" s="4" t="s">
        <v>325</v>
      </c>
      <c r="S38" s="10"/>
      <c r="T38" s="4" t="s">
        <v>106</v>
      </c>
      <c r="U38" s="4" t="s">
        <v>1354</v>
      </c>
      <c r="V38" s="10"/>
      <c r="W38" s="4" t="s">
        <v>151</v>
      </c>
      <c r="X38" s="4" t="s">
        <v>486</v>
      </c>
      <c r="Y38" s="10"/>
      <c r="Z38" s="31" t="s">
        <v>53</v>
      </c>
      <c r="AA38" s="31" t="s">
        <v>1411</v>
      </c>
      <c r="AB38" s="27" t="s">
        <v>1406</v>
      </c>
      <c r="AC38" s="10"/>
      <c r="AD38" s="10"/>
      <c r="AE38" s="10"/>
      <c r="AF38" s="10"/>
      <c r="AG38" s="10"/>
      <c r="AH38" s="10"/>
      <c r="AI38" s="10"/>
      <c r="AJ38" s="10"/>
      <c r="AK38" s="10"/>
      <c r="AL38" s="10"/>
      <c r="AM38" s="10"/>
      <c r="AN38" s="10"/>
      <c r="AO38" s="10"/>
      <c r="AP38" s="10"/>
      <c r="AQ38" s="10"/>
      <c r="AR38" s="10"/>
      <c r="AS38" s="10"/>
    </row>
    <row r="39" spans="1:45" ht="13">
      <c r="A39" s="10">
        <v>2018</v>
      </c>
      <c r="B39" s="10" t="s">
        <v>158</v>
      </c>
      <c r="C39" s="10" t="s">
        <v>12</v>
      </c>
      <c r="D39" s="10" t="s">
        <v>48</v>
      </c>
      <c r="E39" s="10">
        <v>20</v>
      </c>
      <c r="F39" s="268"/>
      <c r="G39" s="34" t="s">
        <v>56</v>
      </c>
      <c r="H39" s="256"/>
      <c r="I39" s="254"/>
      <c r="J39" s="254"/>
      <c r="K39" s="254"/>
      <c r="L39" s="34" t="s">
        <v>1418</v>
      </c>
      <c r="M39" s="36"/>
      <c r="N39" s="4" t="s">
        <v>147</v>
      </c>
      <c r="O39" s="4" t="s">
        <v>1408</v>
      </c>
      <c r="P39" s="29"/>
      <c r="Q39" s="4" t="s">
        <v>155</v>
      </c>
      <c r="R39" s="4" t="s">
        <v>1441</v>
      </c>
      <c r="S39" s="10"/>
      <c r="T39" s="4" t="s">
        <v>110</v>
      </c>
      <c r="U39" s="4" t="s">
        <v>1409</v>
      </c>
      <c r="V39" s="10"/>
      <c r="W39" s="4" t="s">
        <v>155</v>
      </c>
      <c r="X39" s="4" t="s">
        <v>1410</v>
      </c>
      <c r="Y39" s="10"/>
      <c r="Z39" s="33" t="s">
        <v>53</v>
      </c>
      <c r="AA39" s="33" t="s">
        <v>692</v>
      </c>
      <c r="AB39" s="32"/>
      <c r="AC39" s="10"/>
      <c r="AD39" s="10"/>
      <c r="AE39" s="10"/>
      <c r="AF39" s="10"/>
      <c r="AG39" s="10"/>
      <c r="AH39" s="10"/>
      <c r="AI39" s="10"/>
      <c r="AJ39" s="10"/>
      <c r="AK39" s="10"/>
      <c r="AL39" s="10"/>
      <c r="AM39" s="10"/>
      <c r="AN39" s="10"/>
      <c r="AO39" s="10"/>
      <c r="AP39" s="10"/>
      <c r="AQ39" s="10"/>
      <c r="AR39" s="10"/>
      <c r="AS39" s="10"/>
    </row>
    <row r="40" spans="1:45" ht="13">
      <c r="A40" s="10">
        <v>2018</v>
      </c>
      <c r="B40" s="10" t="s">
        <v>162</v>
      </c>
      <c r="C40" s="10" t="s">
        <v>47</v>
      </c>
      <c r="D40" s="10" t="s">
        <v>48</v>
      </c>
      <c r="E40" s="10">
        <v>21</v>
      </c>
      <c r="F40" s="268"/>
      <c r="G40" s="32" t="s">
        <v>60</v>
      </c>
      <c r="H40" s="257" t="s">
        <v>61</v>
      </c>
      <c r="I40" s="257" t="s">
        <v>703</v>
      </c>
      <c r="J40" s="257" t="s">
        <v>704</v>
      </c>
      <c r="K40" s="257" t="s">
        <v>718</v>
      </c>
      <c r="L40" s="261" t="s">
        <v>1407</v>
      </c>
      <c r="M40" s="36"/>
      <c r="N40" s="4" t="s">
        <v>151</v>
      </c>
      <c r="O40" s="4" t="s">
        <v>908</v>
      </c>
      <c r="P40" s="29"/>
      <c r="Q40" s="4" t="s">
        <v>159</v>
      </c>
      <c r="R40" s="4" t="s">
        <v>325</v>
      </c>
      <c r="S40" s="10"/>
      <c r="T40" s="4" t="s">
        <v>114</v>
      </c>
      <c r="U40" s="4" t="s">
        <v>1354</v>
      </c>
      <c r="V40" s="10"/>
      <c r="W40" s="4" t="s">
        <v>159</v>
      </c>
      <c r="X40" s="4" t="s">
        <v>532</v>
      </c>
      <c r="Y40" s="10"/>
      <c r="Z40" s="31" t="s">
        <v>56</v>
      </c>
      <c r="AA40" s="31" t="s">
        <v>1411</v>
      </c>
      <c r="AB40" s="27" t="s">
        <v>1406</v>
      </c>
      <c r="AC40" s="10"/>
      <c r="AD40" s="10"/>
      <c r="AE40" s="10"/>
      <c r="AF40" s="10"/>
      <c r="AG40" s="10"/>
      <c r="AH40" s="10"/>
      <c r="AI40" s="10"/>
      <c r="AJ40" s="10"/>
      <c r="AK40" s="10"/>
      <c r="AL40" s="10"/>
      <c r="AM40" s="10"/>
      <c r="AN40" s="10"/>
      <c r="AO40" s="10"/>
      <c r="AP40" s="10"/>
      <c r="AQ40" s="10"/>
      <c r="AR40" s="10"/>
      <c r="AS40" s="10"/>
    </row>
    <row r="41" spans="1:45" ht="18.75" customHeight="1">
      <c r="A41" s="10">
        <v>2017</v>
      </c>
      <c r="B41" s="10" t="s">
        <v>166</v>
      </c>
      <c r="C41" s="10" t="s">
        <v>167</v>
      </c>
      <c r="D41" s="10" t="s">
        <v>48</v>
      </c>
      <c r="E41" s="10">
        <v>24</v>
      </c>
      <c r="F41" s="268"/>
      <c r="G41" s="32" t="s">
        <v>60</v>
      </c>
      <c r="H41" s="258"/>
      <c r="I41" s="258"/>
      <c r="J41" s="258"/>
      <c r="K41" s="258"/>
      <c r="L41" s="258"/>
      <c r="M41" s="36"/>
      <c r="N41" s="4" t="s">
        <v>155</v>
      </c>
      <c r="O41" s="4" t="s">
        <v>619</v>
      </c>
      <c r="P41" s="29"/>
      <c r="Q41" s="4" t="s">
        <v>163</v>
      </c>
      <c r="R41" s="4" t="s">
        <v>325</v>
      </c>
      <c r="S41" s="10"/>
      <c r="T41" s="4" t="s">
        <v>114</v>
      </c>
      <c r="U41" s="4" t="s">
        <v>1409</v>
      </c>
      <c r="V41" s="10"/>
      <c r="W41" s="4" t="s">
        <v>163</v>
      </c>
      <c r="X41" s="4" t="s">
        <v>788</v>
      </c>
      <c r="Y41" s="10"/>
      <c r="Z41" s="33" t="s">
        <v>56</v>
      </c>
      <c r="AA41" s="33" t="s">
        <v>1026</v>
      </c>
      <c r="AB41" s="32" t="s">
        <v>1424</v>
      </c>
      <c r="AC41" s="10"/>
      <c r="AD41" s="10"/>
      <c r="AE41" s="10"/>
      <c r="AF41" s="10"/>
      <c r="AG41" s="10"/>
      <c r="AH41" s="10"/>
      <c r="AI41" s="10"/>
      <c r="AJ41" s="10"/>
      <c r="AK41" s="10"/>
      <c r="AL41" s="10"/>
      <c r="AM41" s="10"/>
      <c r="AN41" s="10"/>
      <c r="AO41" s="10"/>
      <c r="AP41" s="10"/>
      <c r="AQ41" s="10"/>
      <c r="AR41" s="10"/>
      <c r="AS41" s="10"/>
    </row>
    <row r="42" spans="1:45" ht="13">
      <c r="A42" s="10">
        <v>2016</v>
      </c>
      <c r="B42" s="10" t="s">
        <v>171</v>
      </c>
      <c r="C42" s="10" t="s">
        <v>12</v>
      </c>
      <c r="D42" s="10" t="s">
        <v>48</v>
      </c>
      <c r="E42" s="10">
        <v>40</v>
      </c>
      <c r="F42" s="268"/>
      <c r="G42" s="32" t="s">
        <v>60</v>
      </c>
      <c r="H42" s="254"/>
      <c r="I42" s="254"/>
      <c r="J42" s="254"/>
      <c r="K42" s="254"/>
      <c r="L42" s="34" t="s">
        <v>1445</v>
      </c>
      <c r="M42" s="36"/>
      <c r="N42" s="4" t="s">
        <v>159</v>
      </c>
      <c r="O42" s="4" t="s">
        <v>619</v>
      </c>
      <c r="P42" s="29"/>
      <c r="Q42" s="4" t="s">
        <v>168</v>
      </c>
      <c r="R42" s="4" t="s">
        <v>325</v>
      </c>
      <c r="S42" s="10"/>
      <c r="T42" s="4" t="s">
        <v>119</v>
      </c>
      <c r="U42" s="4" t="s">
        <v>1409</v>
      </c>
      <c r="V42" s="10"/>
      <c r="W42" s="4" t="s">
        <v>168</v>
      </c>
      <c r="X42" s="4" t="s">
        <v>366</v>
      </c>
      <c r="Y42" s="10"/>
      <c r="Z42" s="33" t="s">
        <v>56</v>
      </c>
      <c r="AA42" s="33" t="s">
        <v>1405</v>
      </c>
      <c r="AB42" s="32"/>
      <c r="AC42" s="10"/>
      <c r="AD42" s="10"/>
      <c r="AE42" s="10"/>
      <c r="AF42" s="10"/>
      <c r="AG42" s="10"/>
      <c r="AH42" s="10"/>
      <c r="AI42" s="10"/>
      <c r="AJ42" s="10"/>
      <c r="AK42" s="10"/>
      <c r="AL42" s="10"/>
      <c r="AM42" s="10"/>
      <c r="AN42" s="10"/>
      <c r="AO42" s="10"/>
      <c r="AP42" s="10"/>
      <c r="AQ42" s="10"/>
      <c r="AR42" s="10"/>
      <c r="AS42" s="10"/>
    </row>
    <row r="43" spans="1:45" ht="13">
      <c r="A43" s="10">
        <v>2015</v>
      </c>
      <c r="B43" s="10" t="s">
        <v>175</v>
      </c>
      <c r="C43" s="10" t="s">
        <v>47</v>
      </c>
      <c r="D43" s="10" t="s">
        <v>48</v>
      </c>
      <c r="E43" s="10">
        <v>41</v>
      </c>
      <c r="F43" s="268"/>
      <c r="G43" s="27" t="s">
        <v>65</v>
      </c>
      <c r="H43" s="42" t="s">
        <v>722</v>
      </c>
      <c r="I43" s="42" t="s">
        <v>724</v>
      </c>
      <c r="J43" s="42" t="s">
        <v>725</v>
      </c>
      <c r="K43" s="42" t="s">
        <v>1446</v>
      </c>
      <c r="L43" s="10" t="s">
        <v>1445</v>
      </c>
      <c r="M43" s="36"/>
      <c r="N43" s="4" t="s">
        <v>163</v>
      </c>
      <c r="O43" s="4" t="s">
        <v>1447</v>
      </c>
      <c r="P43" s="29"/>
      <c r="Q43" s="4" t="s">
        <v>172</v>
      </c>
      <c r="R43" s="4" t="s">
        <v>325</v>
      </c>
      <c r="S43" s="10"/>
      <c r="T43" s="4" t="s">
        <v>124</v>
      </c>
      <c r="U43" s="4" t="s">
        <v>1409</v>
      </c>
      <c r="V43" s="10"/>
      <c r="W43" s="4" t="s">
        <v>172</v>
      </c>
      <c r="X43" s="4" t="s">
        <v>532</v>
      </c>
      <c r="Y43" s="10"/>
      <c r="Z43" s="33" t="s">
        <v>56</v>
      </c>
      <c r="AA43" s="33" t="s">
        <v>692</v>
      </c>
      <c r="AB43" s="32"/>
      <c r="AC43" s="10"/>
      <c r="AD43" s="10"/>
      <c r="AE43" s="10"/>
      <c r="AF43" s="10"/>
      <c r="AG43" s="10"/>
      <c r="AH43" s="10"/>
      <c r="AI43" s="10"/>
      <c r="AJ43" s="10"/>
      <c r="AK43" s="10"/>
      <c r="AL43" s="10"/>
      <c r="AM43" s="10"/>
      <c r="AN43" s="10"/>
      <c r="AO43" s="10"/>
      <c r="AP43" s="10"/>
      <c r="AQ43" s="10"/>
      <c r="AR43" s="10"/>
      <c r="AS43" s="10"/>
    </row>
    <row r="44" spans="1:45" ht="13">
      <c r="A44" s="10">
        <v>2014</v>
      </c>
      <c r="B44" s="10" t="s">
        <v>179</v>
      </c>
      <c r="C44" s="10" t="s">
        <v>25</v>
      </c>
      <c r="D44" s="10" t="s">
        <v>48</v>
      </c>
      <c r="E44" s="10">
        <v>54</v>
      </c>
      <c r="F44" s="268"/>
      <c r="G44" s="27" t="s">
        <v>69</v>
      </c>
      <c r="H44" s="255" t="s">
        <v>70</v>
      </c>
      <c r="I44" s="257" t="s">
        <v>742</v>
      </c>
      <c r="J44" s="257" t="s">
        <v>743</v>
      </c>
      <c r="K44" s="257" t="s">
        <v>1448</v>
      </c>
      <c r="L44" s="27" t="s">
        <v>1418</v>
      </c>
      <c r="M44" s="36"/>
      <c r="N44" s="4" t="s">
        <v>168</v>
      </c>
      <c r="O44" s="4" t="s">
        <v>1449</v>
      </c>
      <c r="P44" s="29"/>
      <c r="Q44" s="4" t="s">
        <v>176</v>
      </c>
      <c r="R44" s="4" t="s">
        <v>1426</v>
      </c>
      <c r="S44" s="10"/>
      <c r="T44" s="4" t="s">
        <v>124</v>
      </c>
      <c r="U44" s="4" t="s">
        <v>1354</v>
      </c>
      <c r="V44" s="10"/>
      <c r="W44" s="4" t="s">
        <v>176</v>
      </c>
      <c r="X44" s="4" t="s">
        <v>366</v>
      </c>
      <c r="Y44" s="10"/>
      <c r="Z44" s="33" t="s">
        <v>56</v>
      </c>
      <c r="AA44" s="33"/>
      <c r="AB44" s="32"/>
      <c r="AC44" s="10"/>
      <c r="AD44" s="10"/>
      <c r="AE44" s="10"/>
      <c r="AF44" s="10"/>
      <c r="AG44" s="10"/>
      <c r="AH44" s="10"/>
      <c r="AI44" s="10"/>
      <c r="AJ44" s="10"/>
      <c r="AK44" s="10"/>
      <c r="AL44" s="10"/>
      <c r="AM44" s="10"/>
      <c r="AN44" s="10"/>
      <c r="AO44" s="10"/>
      <c r="AP44" s="10"/>
      <c r="AQ44" s="10"/>
      <c r="AR44" s="10"/>
      <c r="AS44" s="10"/>
    </row>
    <row r="45" spans="1:45" ht="13">
      <c r="A45" s="10">
        <v>2012</v>
      </c>
      <c r="B45" s="10" t="s">
        <v>183</v>
      </c>
      <c r="C45" s="10" t="s">
        <v>167</v>
      </c>
      <c r="D45" s="10" t="s">
        <v>48</v>
      </c>
      <c r="E45" s="10">
        <v>54</v>
      </c>
      <c r="F45" s="268"/>
      <c r="G45" s="32" t="s">
        <v>69</v>
      </c>
      <c r="H45" s="262"/>
      <c r="I45" s="258"/>
      <c r="J45" s="258"/>
      <c r="K45" s="258"/>
      <c r="L45" s="32" t="s">
        <v>1407</v>
      </c>
      <c r="M45" s="36"/>
      <c r="N45" s="4" t="s">
        <v>172</v>
      </c>
      <c r="O45" s="4" t="s">
        <v>1449</v>
      </c>
      <c r="P45" s="29"/>
      <c r="Q45" s="4" t="s">
        <v>180</v>
      </c>
      <c r="R45" s="4" t="s">
        <v>325</v>
      </c>
      <c r="S45" s="10"/>
      <c r="T45" s="4" t="s">
        <v>129</v>
      </c>
      <c r="U45" s="4" t="s">
        <v>1425</v>
      </c>
      <c r="V45" s="10"/>
      <c r="W45" s="4" t="s">
        <v>180</v>
      </c>
      <c r="X45" s="4" t="s">
        <v>532</v>
      </c>
      <c r="Y45" s="10"/>
      <c r="Z45" s="31" t="s">
        <v>60</v>
      </c>
      <c r="AA45" s="31" t="s">
        <v>1405</v>
      </c>
      <c r="AB45" s="27" t="s">
        <v>1412</v>
      </c>
      <c r="AC45" s="10"/>
      <c r="AD45" s="10"/>
      <c r="AE45" s="10"/>
      <c r="AF45" s="10"/>
      <c r="AG45" s="10"/>
      <c r="AH45" s="10"/>
      <c r="AI45" s="10"/>
      <c r="AJ45" s="10"/>
      <c r="AK45" s="10"/>
      <c r="AL45" s="10"/>
      <c r="AM45" s="10"/>
      <c r="AN45" s="10"/>
      <c r="AO45" s="10"/>
      <c r="AP45" s="10"/>
      <c r="AQ45" s="10"/>
      <c r="AR45" s="10"/>
      <c r="AS45" s="10"/>
    </row>
    <row r="46" spans="1:45" ht="13">
      <c r="A46" s="10">
        <v>2011</v>
      </c>
      <c r="B46" s="10" t="s">
        <v>187</v>
      </c>
      <c r="C46" s="10" t="s">
        <v>47</v>
      </c>
      <c r="D46" s="10" t="s">
        <v>48</v>
      </c>
      <c r="E46" s="10">
        <v>298</v>
      </c>
      <c r="F46" s="268"/>
      <c r="G46" s="32" t="s">
        <v>69</v>
      </c>
      <c r="H46" s="262"/>
      <c r="I46" s="258"/>
      <c r="J46" s="258"/>
      <c r="K46" s="258"/>
      <c r="L46" s="32" t="s">
        <v>1347</v>
      </c>
      <c r="M46" s="36"/>
      <c r="N46" s="4" t="s">
        <v>176</v>
      </c>
      <c r="O46" s="4" t="s">
        <v>1447</v>
      </c>
      <c r="P46" s="29"/>
      <c r="Q46" s="4" t="s">
        <v>184</v>
      </c>
      <c r="R46" s="4" t="s">
        <v>1444</v>
      </c>
      <c r="S46" s="10"/>
      <c r="T46" s="4" t="s">
        <v>132</v>
      </c>
      <c r="U46" s="4" t="s">
        <v>1354</v>
      </c>
      <c r="V46" s="10"/>
      <c r="W46" s="4" t="s">
        <v>184</v>
      </c>
      <c r="X46" s="4" t="s">
        <v>486</v>
      </c>
      <c r="Y46" s="10"/>
      <c r="Z46" s="33" t="s">
        <v>60</v>
      </c>
      <c r="AA46" s="33" t="s">
        <v>1435</v>
      </c>
      <c r="AB46" s="32" t="s">
        <v>1406</v>
      </c>
      <c r="AC46" s="10"/>
      <c r="AD46" s="10"/>
      <c r="AE46" s="10"/>
      <c r="AF46" s="10"/>
      <c r="AG46" s="10"/>
      <c r="AH46" s="10"/>
      <c r="AI46" s="10"/>
      <c r="AJ46" s="10"/>
      <c r="AK46" s="10"/>
      <c r="AL46" s="10"/>
      <c r="AM46" s="10"/>
      <c r="AN46" s="10"/>
      <c r="AO46" s="10"/>
      <c r="AP46" s="10"/>
      <c r="AQ46" s="10"/>
      <c r="AR46" s="10"/>
      <c r="AS46" s="10"/>
    </row>
    <row r="47" spans="1:45" ht="13">
      <c r="A47" s="10">
        <v>2008</v>
      </c>
      <c r="B47" s="10" t="s">
        <v>191</v>
      </c>
      <c r="C47" s="10" t="s">
        <v>25</v>
      </c>
      <c r="D47" s="10" t="s">
        <v>48</v>
      </c>
      <c r="E47" s="43" t="s">
        <v>123</v>
      </c>
      <c r="F47" s="268"/>
      <c r="G47" s="34" t="s">
        <v>69</v>
      </c>
      <c r="H47" s="256"/>
      <c r="I47" s="254"/>
      <c r="J47" s="254"/>
      <c r="K47" s="254"/>
      <c r="L47" s="34" t="s">
        <v>1450</v>
      </c>
      <c r="M47" s="36"/>
      <c r="N47" s="4" t="s">
        <v>180</v>
      </c>
      <c r="O47" s="4" t="s">
        <v>1449</v>
      </c>
      <c r="P47" s="29"/>
      <c r="Q47" s="4" t="s">
        <v>188</v>
      </c>
      <c r="R47" s="4" t="s">
        <v>325</v>
      </c>
      <c r="S47" s="10"/>
      <c r="T47" s="4" t="s">
        <v>132</v>
      </c>
      <c r="U47" s="4" t="s">
        <v>1415</v>
      </c>
      <c r="V47" s="10"/>
      <c r="W47" s="4" t="s">
        <v>188</v>
      </c>
      <c r="X47" s="4" t="s">
        <v>532</v>
      </c>
      <c r="Y47" s="10"/>
      <c r="Z47" s="33" t="s">
        <v>60</v>
      </c>
      <c r="AA47" s="33"/>
      <c r="AB47" s="32"/>
      <c r="AC47" s="10"/>
      <c r="AD47" s="10"/>
      <c r="AE47" s="10"/>
      <c r="AF47" s="10"/>
      <c r="AG47" s="10"/>
      <c r="AH47" s="10"/>
      <c r="AI47" s="10"/>
      <c r="AJ47" s="10"/>
      <c r="AK47" s="10"/>
      <c r="AL47" s="10"/>
      <c r="AM47" s="10"/>
      <c r="AN47" s="10"/>
      <c r="AO47" s="10"/>
      <c r="AP47" s="10"/>
      <c r="AQ47" s="10"/>
      <c r="AR47" s="10"/>
      <c r="AS47" s="10"/>
    </row>
    <row r="48" spans="1:45" ht="13">
      <c r="A48" s="10"/>
      <c r="B48" s="10"/>
      <c r="C48" s="10"/>
      <c r="D48" s="10"/>
      <c r="E48" s="10"/>
      <c r="F48" s="268"/>
      <c r="G48" s="32" t="s">
        <v>72</v>
      </c>
      <c r="H48" s="255" t="s">
        <v>73</v>
      </c>
      <c r="I48" s="257" t="s">
        <v>762</v>
      </c>
      <c r="J48" s="257" t="s">
        <v>1451</v>
      </c>
      <c r="K48" s="257" t="s">
        <v>782</v>
      </c>
      <c r="L48" s="27" t="s">
        <v>1419</v>
      </c>
      <c r="M48" s="36"/>
      <c r="N48" s="4" t="s">
        <v>184</v>
      </c>
      <c r="O48" s="4" t="s">
        <v>1404</v>
      </c>
      <c r="P48" s="29"/>
      <c r="Q48" s="10"/>
      <c r="R48" s="10"/>
      <c r="S48" s="10"/>
      <c r="T48" s="4" t="s">
        <v>136</v>
      </c>
      <c r="U48" s="4" t="s">
        <v>1425</v>
      </c>
      <c r="V48" s="10"/>
      <c r="W48" s="10"/>
      <c r="X48" s="10"/>
      <c r="Y48" s="10"/>
      <c r="Z48" s="33" t="s">
        <v>60</v>
      </c>
      <c r="AA48" s="33" t="s">
        <v>692</v>
      </c>
      <c r="AB48" s="34"/>
      <c r="AC48" s="10"/>
      <c r="AD48" s="10"/>
      <c r="AE48" s="10"/>
      <c r="AF48" s="10"/>
      <c r="AG48" s="10"/>
      <c r="AH48" s="10"/>
      <c r="AI48" s="10"/>
      <c r="AJ48" s="10"/>
      <c r="AK48" s="10"/>
      <c r="AL48" s="10"/>
      <c r="AM48" s="10"/>
      <c r="AN48" s="10"/>
      <c r="AO48" s="10"/>
      <c r="AP48" s="10"/>
      <c r="AQ48" s="10"/>
      <c r="AR48" s="10"/>
      <c r="AS48" s="10"/>
    </row>
    <row r="49" spans="1:45" ht="13">
      <c r="A49" s="10"/>
      <c r="B49" s="10"/>
      <c r="C49" s="10"/>
      <c r="D49" s="10"/>
      <c r="E49" s="10"/>
      <c r="F49" s="268"/>
      <c r="G49" s="34" t="s">
        <v>72</v>
      </c>
      <c r="H49" s="256"/>
      <c r="I49" s="254"/>
      <c r="J49" s="254"/>
      <c r="K49" s="254"/>
      <c r="L49" s="34" t="s">
        <v>1418</v>
      </c>
      <c r="M49" s="36"/>
      <c r="N49" s="4" t="s">
        <v>188</v>
      </c>
      <c r="O49" s="4" t="s">
        <v>1449</v>
      </c>
      <c r="P49" s="29"/>
      <c r="Q49" s="10"/>
      <c r="R49" s="10"/>
      <c r="S49" s="10"/>
      <c r="T49" s="4" t="s">
        <v>140</v>
      </c>
      <c r="U49" s="4" t="s">
        <v>1415</v>
      </c>
      <c r="V49" s="10"/>
      <c r="W49" s="10"/>
      <c r="X49" s="10"/>
      <c r="Y49" s="10"/>
      <c r="Z49" s="31" t="s">
        <v>65</v>
      </c>
      <c r="AA49" s="31" t="s">
        <v>1405</v>
      </c>
      <c r="AB49" s="27" t="s">
        <v>1452</v>
      </c>
      <c r="AC49" s="10"/>
      <c r="AD49" s="10"/>
      <c r="AE49" s="10"/>
      <c r="AF49" s="10"/>
      <c r="AG49" s="10"/>
      <c r="AH49" s="10"/>
      <c r="AI49" s="10"/>
      <c r="AJ49" s="10"/>
      <c r="AK49" s="10"/>
      <c r="AL49" s="10"/>
      <c r="AM49" s="10"/>
      <c r="AN49" s="10"/>
      <c r="AO49" s="10"/>
      <c r="AP49" s="10"/>
      <c r="AQ49" s="10"/>
      <c r="AR49" s="10"/>
      <c r="AS49" s="10"/>
    </row>
    <row r="50" spans="1:45" ht="13">
      <c r="A50" s="10"/>
      <c r="B50" s="10"/>
      <c r="C50" s="10"/>
      <c r="D50" s="10"/>
      <c r="E50" s="10"/>
      <c r="F50" s="268"/>
      <c r="G50" s="32" t="s">
        <v>75</v>
      </c>
      <c r="H50" s="255" t="s">
        <v>76</v>
      </c>
      <c r="I50" s="257" t="s">
        <v>786</v>
      </c>
      <c r="J50" s="257" t="s">
        <v>787</v>
      </c>
      <c r="K50" s="257" t="s">
        <v>800</v>
      </c>
      <c r="L50" s="27"/>
      <c r="M50" s="36"/>
      <c r="N50" s="29"/>
      <c r="O50" s="29"/>
      <c r="P50" s="29"/>
      <c r="Q50" s="10"/>
      <c r="R50" s="10"/>
      <c r="S50" s="10"/>
      <c r="T50" s="4" t="s">
        <v>144</v>
      </c>
      <c r="U50" s="4" t="s">
        <v>1354</v>
      </c>
      <c r="V50" s="10"/>
      <c r="W50" s="10"/>
      <c r="X50" s="10"/>
      <c r="Y50" s="10"/>
      <c r="Z50" s="33" t="s">
        <v>65</v>
      </c>
      <c r="AA50" s="44" t="s">
        <v>1453</v>
      </c>
      <c r="AB50" s="32"/>
      <c r="AC50" s="10"/>
      <c r="AD50" s="10"/>
      <c r="AE50" s="10"/>
      <c r="AF50" s="10"/>
      <c r="AG50" s="10"/>
      <c r="AH50" s="10"/>
      <c r="AI50" s="10"/>
      <c r="AJ50" s="10"/>
      <c r="AK50" s="10"/>
      <c r="AL50" s="10"/>
      <c r="AM50" s="10"/>
      <c r="AN50" s="10"/>
      <c r="AO50" s="10"/>
      <c r="AP50" s="10"/>
      <c r="AQ50" s="10"/>
      <c r="AR50" s="10"/>
      <c r="AS50" s="10"/>
    </row>
    <row r="51" spans="1:45" ht="13">
      <c r="A51" s="10"/>
      <c r="B51" s="10"/>
      <c r="C51" s="10"/>
      <c r="D51" s="10"/>
      <c r="E51" s="10"/>
      <c r="F51" s="268"/>
      <c r="G51" s="34" t="s">
        <v>75</v>
      </c>
      <c r="H51" s="256"/>
      <c r="I51" s="254"/>
      <c r="J51" s="254"/>
      <c r="K51" s="254"/>
      <c r="L51" s="32" t="s">
        <v>1418</v>
      </c>
      <c r="M51" s="36"/>
      <c r="N51" s="29"/>
      <c r="O51" s="29"/>
      <c r="P51" s="29"/>
      <c r="Q51" s="10"/>
      <c r="R51" s="10"/>
      <c r="S51" s="10"/>
      <c r="T51" s="4" t="s">
        <v>144</v>
      </c>
      <c r="U51" s="4" t="s">
        <v>1415</v>
      </c>
      <c r="V51" s="10"/>
      <c r="W51" s="10"/>
      <c r="X51" s="10"/>
      <c r="Y51" s="10"/>
      <c r="Z51" s="33" t="s">
        <v>65</v>
      </c>
      <c r="AA51" s="33" t="s">
        <v>1423</v>
      </c>
      <c r="AB51" s="32"/>
      <c r="AC51" s="10"/>
      <c r="AD51" s="10"/>
      <c r="AE51" s="10"/>
      <c r="AF51" s="10"/>
      <c r="AG51" s="10"/>
      <c r="AH51" s="10"/>
      <c r="AI51" s="10"/>
      <c r="AJ51" s="10"/>
      <c r="AK51" s="10"/>
      <c r="AL51" s="10"/>
      <c r="AM51" s="10"/>
      <c r="AN51" s="10"/>
      <c r="AO51" s="10"/>
      <c r="AP51" s="10"/>
      <c r="AQ51" s="10"/>
      <c r="AR51" s="10"/>
      <c r="AS51" s="10"/>
    </row>
    <row r="52" spans="1:45" ht="13">
      <c r="A52" s="10"/>
      <c r="B52" s="10"/>
      <c r="C52" s="10"/>
      <c r="D52" s="10"/>
      <c r="E52" s="10"/>
      <c r="F52" s="268"/>
      <c r="G52" s="32" t="s">
        <v>79</v>
      </c>
      <c r="H52" s="255" t="s">
        <v>80</v>
      </c>
      <c r="I52" s="257" t="s">
        <v>803</v>
      </c>
      <c r="J52" s="257" t="s">
        <v>804</v>
      </c>
      <c r="K52" s="259" t="s">
        <v>815</v>
      </c>
      <c r="L52" s="27" t="s">
        <v>1407</v>
      </c>
      <c r="M52" s="36"/>
      <c r="N52" s="29"/>
      <c r="O52" s="29"/>
      <c r="P52" s="29"/>
      <c r="Q52" s="10"/>
      <c r="R52" s="10"/>
      <c r="S52" s="10"/>
      <c r="T52" s="4" t="s">
        <v>144</v>
      </c>
      <c r="U52" s="4" t="s">
        <v>1454</v>
      </c>
      <c r="V52" s="10"/>
      <c r="W52" s="10"/>
      <c r="X52" s="10"/>
      <c r="Y52" s="10"/>
      <c r="Z52" s="31" t="s">
        <v>69</v>
      </c>
      <c r="AA52" s="27" t="s">
        <v>1405</v>
      </c>
      <c r="AB52" s="27" t="s">
        <v>1406</v>
      </c>
      <c r="AC52" s="10"/>
      <c r="AD52" s="10"/>
      <c r="AE52" s="10"/>
      <c r="AF52" s="10"/>
      <c r="AG52" s="10"/>
      <c r="AH52" s="10"/>
      <c r="AI52" s="10"/>
      <c r="AJ52" s="10"/>
      <c r="AK52" s="10"/>
      <c r="AL52" s="10"/>
      <c r="AM52" s="10"/>
      <c r="AN52" s="10"/>
      <c r="AO52" s="10"/>
      <c r="AP52" s="10"/>
      <c r="AQ52" s="10"/>
      <c r="AR52" s="10"/>
      <c r="AS52" s="10"/>
    </row>
    <row r="53" spans="1:45" ht="13">
      <c r="A53" s="10"/>
      <c r="B53" s="10"/>
      <c r="C53" s="10"/>
      <c r="D53" s="10"/>
      <c r="E53" s="10"/>
      <c r="F53" s="268"/>
      <c r="G53" s="32" t="s">
        <v>79</v>
      </c>
      <c r="H53" s="262"/>
      <c r="I53" s="258"/>
      <c r="J53" s="258"/>
      <c r="K53" s="263"/>
      <c r="L53" s="32" t="s">
        <v>1432</v>
      </c>
      <c r="M53" s="36"/>
      <c r="N53" s="29"/>
      <c r="O53" s="29"/>
      <c r="P53" s="29"/>
      <c r="Q53" s="10"/>
      <c r="R53" s="10"/>
      <c r="S53" s="10"/>
      <c r="T53" s="4" t="s">
        <v>147</v>
      </c>
      <c r="U53" s="4" t="s">
        <v>1354</v>
      </c>
      <c r="V53" s="10"/>
      <c r="W53" s="10"/>
      <c r="X53" s="10"/>
      <c r="Y53" s="10"/>
      <c r="Z53" s="33" t="s">
        <v>69</v>
      </c>
      <c r="AA53" s="32" t="s">
        <v>1435</v>
      </c>
      <c r="AB53" s="32" t="s">
        <v>1455</v>
      </c>
      <c r="AC53" s="10"/>
      <c r="AD53" s="10"/>
      <c r="AE53" s="10"/>
      <c r="AF53" s="10"/>
      <c r="AG53" s="10"/>
      <c r="AH53" s="10"/>
      <c r="AI53" s="10"/>
      <c r="AJ53" s="10"/>
      <c r="AK53" s="10"/>
      <c r="AL53" s="10"/>
      <c r="AM53" s="10"/>
      <c r="AN53" s="10"/>
      <c r="AO53" s="10"/>
      <c r="AP53" s="10"/>
      <c r="AQ53" s="10"/>
      <c r="AR53" s="10"/>
      <c r="AS53" s="10"/>
    </row>
    <row r="54" spans="1:45" ht="13">
      <c r="A54" s="10"/>
      <c r="B54" s="10"/>
      <c r="C54" s="10"/>
      <c r="D54" s="10"/>
      <c r="E54" s="10"/>
      <c r="F54" s="268"/>
      <c r="G54" s="34" t="s">
        <v>79</v>
      </c>
      <c r="H54" s="256"/>
      <c r="I54" s="254"/>
      <c r="J54" s="254"/>
      <c r="K54" s="260"/>
      <c r="L54" s="34" t="s">
        <v>1418</v>
      </c>
      <c r="M54" s="36"/>
      <c r="N54" s="29"/>
      <c r="O54" s="29"/>
      <c r="P54" s="29"/>
      <c r="Q54" s="10"/>
      <c r="R54" s="10"/>
      <c r="S54" s="10"/>
      <c r="T54" s="4" t="s">
        <v>147</v>
      </c>
      <c r="U54" s="4" t="s">
        <v>1415</v>
      </c>
      <c r="V54" s="10"/>
      <c r="W54" s="10"/>
      <c r="X54" s="10"/>
      <c r="Y54" s="10"/>
      <c r="Z54" s="33" t="s">
        <v>69</v>
      </c>
      <c r="AA54" s="32" t="s">
        <v>692</v>
      </c>
      <c r="AB54" s="32"/>
      <c r="AC54" s="10"/>
      <c r="AD54" s="10"/>
      <c r="AE54" s="10"/>
      <c r="AF54" s="10"/>
      <c r="AG54" s="10"/>
      <c r="AH54" s="10"/>
      <c r="AI54" s="10"/>
      <c r="AJ54" s="10"/>
      <c r="AK54" s="10"/>
      <c r="AL54" s="10"/>
      <c r="AM54" s="10"/>
      <c r="AN54" s="10"/>
      <c r="AO54" s="10"/>
      <c r="AP54" s="10"/>
      <c r="AQ54" s="10"/>
      <c r="AR54" s="10"/>
      <c r="AS54" s="10"/>
    </row>
    <row r="55" spans="1:45" ht="13">
      <c r="A55" s="10"/>
      <c r="B55" s="10"/>
      <c r="C55" s="10"/>
      <c r="D55" s="10"/>
      <c r="E55" s="10"/>
      <c r="F55" s="268"/>
      <c r="G55" s="32" t="s">
        <v>84</v>
      </c>
      <c r="H55" s="42" t="s">
        <v>85</v>
      </c>
      <c r="I55" s="42" t="s">
        <v>1456</v>
      </c>
      <c r="J55" s="42" t="s">
        <v>820</v>
      </c>
      <c r="K55" s="42" t="s">
        <v>835</v>
      </c>
      <c r="L55" s="10" t="s">
        <v>1414</v>
      </c>
      <c r="M55" s="36"/>
      <c r="N55" s="29"/>
      <c r="O55" s="29"/>
      <c r="P55" s="29"/>
      <c r="Q55" s="10"/>
      <c r="R55" s="10"/>
      <c r="S55" s="10"/>
      <c r="T55" s="4" t="s">
        <v>151</v>
      </c>
      <c r="U55" s="4" t="s">
        <v>488</v>
      </c>
      <c r="V55" s="10"/>
      <c r="W55" s="10"/>
      <c r="X55" s="10"/>
      <c r="Y55" s="10"/>
      <c r="Z55" s="33" t="s">
        <v>69</v>
      </c>
      <c r="AA55" s="32" t="s">
        <v>1453</v>
      </c>
      <c r="AB55" s="32"/>
      <c r="AC55" s="10"/>
      <c r="AD55" s="10"/>
      <c r="AE55" s="10"/>
      <c r="AF55" s="10"/>
      <c r="AG55" s="10"/>
      <c r="AH55" s="10"/>
      <c r="AI55" s="10"/>
      <c r="AJ55" s="10"/>
      <c r="AK55" s="10"/>
      <c r="AL55" s="10"/>
      <c r="AM55" s="10"/>
      <c r="AN55" s="10"/>
      <c r="AO55" s="10"/>
      <c r="AP55" s="10"/>
      <c r="AQ55" s="10"/>
      <c r="AR55" s="10"/>
      <c r="AS55" s="10"/>
    </row>
    <row r="56" spans="1:45" ht="13">
      <c r="A56" s="10"/>
      <c r="B56" s="10"/>
      <c r="C56" s="10"/>
      <c r="D56" s="10"/>
      <c r="E56" s="10"/>
      <c r="F56" s="268"/>
      <c r="G56" s="27" t="s">
        <v>87</v>
      </c>
      <c r="H56" s="255" t="s">
        <v>88</v>
      </c>
      <c r="I56" s="257" t="s">
        <v>839</v>
      </c>
      <c r="J56" s="257" t="s">
        <v>840</v>
      </c>
      <c r="K56" s="257" t="s">
        <v>853</v>
      </c>
      <c r="L56" s="27" t="s">
        <v>1407</v>
      </c>
      <c r="M56" s="36"/>
      <c r="N56" s="29"/>
      <c r="O56" s="29"/>
      <c r="P56" s="29"/>
      <c r="Q56" s="10"/>
      <c r="R56" s="10"/>
      <c r="S56" s="10"/>
      <c r="T56" s="4" t="s">
        <v>155</v>
      </c>
      <c r="U56" s="4" t="s">
        <v>1415</v>
      </c>
      <c r="V56" s="10"/>
      <c r="W56" s="10"/>
      <c r="X56" s="10"/>
      <c r="Y56" s="10"/>
      <c r="Z56" s="33" t="s">
        <v>69</v>
      </c>
      <c r="AA56" s="34"/>
      <c r="AB56" s="32"/>
      <c r="AC56" s="10"/>
      <c r="AD56" s="10"/>
      <c r="AE56" s="10"/>
      <c r="AF56" s="10"/>
      <c r="AG56" s="10"/>
      <c r="AH56" s="10"/>
      <c r="AI56" s="10"/>
      <c r="AJ56" s="10"/>
      <c r="AK56" s="10"/>
      <c r="AL56" s="10"/>
      <c r="AM56" s="10"/>
      <c r="AN56" s="10"/>
      <c r="AO56" s="10"/>
      <c r="AP56" s="10"/>
      <c r="AQ56" s="10"/>
      <c r="AR56" s="10"/>
      <c r="AS56" s="10"/>
    </row>
    <row r="57" spans="1:45" ht="13">
      <c r="A57" s="10"/>
      <c r="B57" s="10"/>
      <c r="C57" s="10"/>
      <c r="D57" s="10"/>
      <c r="E57" s="10"/>
      <c r="F57" s="268"/>
      <c r="G57" s="32" t="s">
        <v>87</v>
      </c>
      <c r="H57" s="256"/>
      <c r="I57" s="254"/>
      <c r="J57" s="254"/>
      <c r="K57" s="254"/>
      <c r="L57" s="34" t="s">
        <v>1418</v>
      </c>
      <c r="M57" s="36"/>
      <c r="N57" s="29"/>
      <c r="O57" s="29"/>
      <c r="P57" s="29"/>
      <c r="Q57" s="10"/>
      <c r="R57" s="10"/>
      <c r="S57" s="10"/>
      <c r="T57" s="4" t="s">
        <v>159</v>
      </c>
      <c r="U57" s="4" t="s">
        <v>1409</v>
      </c>
      <c r="V57" s="10"/>
      <c r="W57" s="10"/>
      <c r="X57" s="10"/>
      <c r="Y57" s="10"/>
      <c r="Z57" s="27" t="s">
        <v>72</v>
      </c>
      <c r="AA57" s="27" t="s">
        <v>1428</v>
      </c>
      <c r="AB57" s="27" t="s">
        <v>1406</v>
      </c>
      <c r="AC57" s="10"/>
      <c r="AD57" s="10"/>
      <c r="AE57" s="10"/>
      <c r="AF57" s="10"/>
      <c r="AG57" s="10"/>
      <c r="AH57" s="10"/>
      <c r="AI57" s="10"/>
      <c r="AJ57" s="10"/>
      <c r="AK57" s="10"/>
      <c r="AL57" s="10"/>
      <c r="AM57" s="10"/>
      <c r="AN57" s="10"/>
      <c r="AO57" s="10"/>
      <c r="AP57" s="10"/>
      <c r="AQ57" s="10"/>
      <c r="AR57" s="10"/>
      <c r="AS57" s="10"/>
    </row>
    <row r="58" spans="1:45" ht="13">
      <c r="A58" s="10"/>
      <c r="B58" s="10"/>
      <c r="C58" s="10"/>
      <c r="D58" s="10"/>
      <c r="E58" s="10"/>
      <c r="F58" s="268"/>
      <c r="G58" s="27" t="s">
        <v>91</v>
      </c>
      <c r="H58" s="255" t="s">
        <v>92</v>
      </c>
      <c r="I58" s="257" t="s">
        <v>858</v>
      </c>
      <c r="J58" s="257" t="s">
        <v>859</v>
      </c>
      <c r="K58" s="257" t="s">
        <v>877</v>
      </c>
      <c r="L58" s="27" t="s">
        <v>1414</v>
      </c>
      <c r="M58" s="36"/>
      <c r="N58" s="29"/>
      <c r="O58" s="29"/>
      <c r="P58" s="29"/>
      <c r="Q58" s="10"/>
      <c r="R58" s="10"/>
      <c r="S58" s="10"/>
      <c r="T58" s="4" t="s">
        <v>163</v>
      </c>
      <c r="U58" s="4" t="s">
        <v>488</v>
      </c>
      <c r="V58" s="10"/>
      <c r="W58" s="10"/>
      <c r="X58" s="10"/>
      <c r="Y58" s="10"/>
      <c r="Z58" s="34" t="s">
        <v>72</v>
      </c>
      <c r="AA58" s="45" t="s">
        <v>692</v>
      </c>
      <c r="AB58" s="34"/>
      <c r="AC58" s="10"/>
      <c r="AD58" s="10"/>
      <c r="AE58" s="10"/>
      <c r="AF58" s="10"/>
      <c r="AG58" s="10"/>
      <c r="AH58" s="10"/>
      <c r="AI58" s="10"/>
      <c r="AJ58" s="10"/>
      <c r="AK58" s="10"/>
      <c r="AL58" s="10"/>
      <c r="AM58" s="10"/>
      <c r="AN58" s="10"/>
      <c r="AO58" s="10"/>
      <c r="AP58" s="10"/>
      <c r="AQ58" s="10"/>
      <c r="AR58" s="10"/>
      <c r="AS58" s="10"/>
    </row>
    <row r="59" spans="1:45" ht="13">
      <c r="A59" s="10"/>
      <c r="B59" s="10"/>
      <c r="C59" s="10"/>
      <c r="D59" s="10"/>
      <c r="E59" s="10"/>
      <c r="F59" s="268"/>
      <c r="G59" s="34" t="s">
        <v>91</v>
      </c>
      <c r="H59" s="256"/>
      <c r="I59" s="254"/>
      <c r="J59" s="254"/>
      <c r="K59" s="254"/>
      <c r="L59" s="34" t="s">
        <v>1407</v>
      </c>
      <c r="M59" s="36"/>
      <c r="N59" s="29"/>
      <c r="O59" s="29"/>
      <c r="P59" s="29"/>
      <c r="Q59" s="10"/>
      <c r="R59" s="10"/>
      <c r="S59" s="10"/>
      <c r="T59" s="4" t="s">
        <v>168</v>
      </c>
      <c r="U59" s="4" t="s">
        <v>488</v>
      </c>
      <c r="V59" s="10"/>
      <c r="W59" s="10"/>
      <c r="X59" s="10"/>
      <c r="Y59" s="10"/>
      <c r="Z59" s="32" t="s">
        <v>75</v>
      </c>
      <c r="AA59" s="10" t="s">
        <v>1411</v>
      </c>
      <c r="AB59" s="34" t="s">
        <v>1412</v>
      </c>
      <c r="AC59" s="10"/>
      <c r="AD59" s="10"/>
      <c r="AE59" s="10"/>
      <c r="AF59" s="10"/>
      <c r="AG59" s="10"/>
      <c r="AH59" s="10"/>
      <c r="AI59" s="10"/>
      <c r="AJ59" s="10"/>
      <c r="AK59" s="10"/>
      <c r="AL59" s="10"/>
      <c r="AM59" s="10"/>
      <c r="AN59" s="10"/>
      <c r="AO59" s="10"/>
      <c r="AP59" s="10"/>
      <c r="AQ59" s="10"/>
      <c r="AR59" s="10"/>
      <c r="AS59" s="10"/>
    </row>
    <row r="60" spans="1:45" ht="13">
      <c r="A60" s="10"/>
      <c r="B60" s="10"/>
      <c r="C60" s="10"/>
      <c r="D60" s="10"/>
      <c r="E60" s="10"/>
      <c r="F60" s="268"/>
      <c r="G60" s="32" t="s">
        <v>95</v>
      </c>
      <c r="H60" s="257" t="s">
        <v>96</v>
      </c>
      <c r="I60" s="257" t="s">
        <v>881</v>
      </c>
      <c r="J60" s="257" t="s">
        <v>882</v>
      </c>
      <c r="K60" s="257" t="s">
        <v>902</v>
      </c>
      <c r="L60" s="27" t="s">
        <v>1418</v>
      </c>
      <c r="M60" s="36"/>
      <c r="N60" s="29"/>
      <c r="O60" s="29"/>
      <c r="P60" s="29"/>
      <c r="Q60" s="10"/>
      <c r="R60" s="10"/>
      <c r="S60" s="10"/>
      <c r="T60" s="4" t="s">
        <v>172</v>
      </c>
      <c r="U60" s="4" t="s">
        <v>488</v>
      </c>
      <c r="V60" s="10"/>
      <c r="W60" s="10"/>
      <c r="X60" s="10"/>
      <c r="Y60" s="10"/>
      <c r="Z60" s="32" t="s">
        <v>75</v>
      </c>
      <c r="AA60" s="10" t="s">
        <v>1416</v>
      </c>
      <c r="AB60" s="32"/>
      <c r="AC60" s="10"/>
      <c r="AD60" s="10"/>
      <c r="AE60" s="10"/>
      <c r="AF60" s="10"/>
      <c r="AG60" s="10"/>
      <c r="AH60" s="10"/>
      <c r="AI60" s="10"/>
      <c r="AJ60" s="10"/>
      <c r="AK60" s="10"/>
      <c r="AL60" s="10"/>
      <c r="AM60" s="10"/>
      <c r="AN60" s="10"/>
      <c r="AO60" s="10"/>
      <c r="AP60" s="10"/>
      <c r="AQ60" s="10"/>
      <c r="AR60" s="10"/>
      <c r="AS60" s="10"/>
    </row>
    <row r="61" spans="1:45" ht="13">
      <c r="A61" s="10"/>
      <c r="B61" s="10"/>
      <c r="C61" s="10"/>
      <c r="D61" s="10"/>
      <c r="E61" s="10"/>
      <c r="F61" s="268"/>
      <c r="G61" s="32" t="s">
        <v>95</v>
      </c>
      <c r="H61" s="258"/>
      <c r="I61" s="258"/>
      <c r="J61" s="258"/>
      <c r="K61" s="258"/>
      <c r="L61" s="32" t="s">
        <v>1407</v>
      </c>
      <c r="M61" s="36"/>
      <c r="N61" s="29"/>
      <c r="O61" s="29"/>
      <c r="P61" s="29"/>
      <c r="Q61" s="10"/>
      <c r="R61" s="10"/>
      <c r="S61" s="10"/>
      <c r="T61" s="4" t="s">
        <v>176</v>
      </c>
      <c r="U61" s="4" t="s">
        <v>488</v>
      </c>
      <c r="V61" s="10"/>
      <c r="W61" s="10"/>
      <c r="X61" s="10"/>
      <c r="Y61" s="10"/>
      <c r="Z61" s="31" t="s">
        <v>79</v>
      </c>
      <c r="AA61" s="27" t="s">
        <v>1405</v>
      </c>
      <c r="AB61" s="27" t="s">
        <v>1406</v>
      </c>
      <c r="AC61" s="10"/>
      <c r="AD61" s="10"/>
      <c r="AE61" s="10"/>
      <c r="AF61" s="10"/>
      <c r="AG61" s="10"/>
      <c r="AH61" s="10"/>
      <c r="AI61" s="10"/>
      <c r="AJ61" s="10"/>
      <c r="AK61" s="10"/>
      <c r="AL61" s="10"/>
      <c r="AM61" s="10"/>
      <c r="AN61" s="10"/>
      <c r="AO61" s="10"/>
      <c r="AP61" s="10"/>
      <c r="AQ61" s="10"/>
      <c r="AR61" s="10"/>
      <c r="AS61" s="10"/>
    </row>
    <row r="62" spans="1:45" ht="13">
      <c r="A62" s="10"/>
      <c r="B62" s="10"/>
      <c r="C62" s="10"/>
      <c r="D62" s="10"/>
      <c r="E62" s="10"/>
      <c r="F62" s="268"/>
      <c r="G62" s="32" t="s">
        <v>95</v>
      </c>
      <c r="H62" s="254"/>
      <c r="I62" s="254"/>
      <c r="J62" s="254"/>
      <c r="K62" s="254"/>
      <c r="L62" s="32" t="s">
        <v>1432</v>
      </c>
      <c r="M62" s="36"/>
      <c r="N62" s="29"/>
      <c r="O62" s="29"/>
      <c r="P62" s="29"/>
      <c r="Q62" s="10"/>
      <c r="R62" s="10"/>
      <c r="S62" s="10"/>
      <c r="T62" s="4" t="s">
        <v>180</v>
      </c>
      <c r="U62" s="4" t="s">
        <v>488</v>
      </c>
      <c r="V62" s="10"/>
      <c r="W62" s="10"/>
      <c r="X62" s="10"/>
      <c r="Y62" s="10"/>
      <c r="Z62" s="33" t="s">
        <v>79</v>
      </c>
      <c r="AA62" s="32" t="s">
        <v>1411</v>
      </c>
      <c r="AB62" s="32"/>
      <c r="AC62" s="10"/>
      <c r="AD62" s="10"/>
      <c r="AE62" s="10"/>
      <c r="AF62" s="10"/>
      <c r="AG62" s="10"/>
      <c r="AH62" s="10"/>
      <c r="AI62" s="10"/>
      <c r="AJ62" s="10"/>
      <c r="AK62" s="10"/>
      <c r="AL62" s="10"/>
      <c r="AM62" s="10"/>
      <c r="AN62" s="10"/>
      <c r="AO62" s="10"/>
      <c r="AP62" s="10"/>
      <c r="AQ62" s="10"/>
      <c r="AR62" s="10"/>
      <c r="AS62" s="10"/>
    </row>
    <row r="63" spans="1:45" ht="13">
      <c r="A63" s="10"/>
      <c r="B63" s="10"/>
      <c r="C63" s="10"/>
      <c r="D63" s="10"/>
      <c r="E63" s="10"/>
      <c r="F63" s="268"/>
      <c r="G63" s="27" t="s">
        <v>98</v>
      </c>
      <c r="H63" s="255" t="s">
        <v>99</v>
      </c>
      <c r="I63" s="257" t="s">
        <v>906</v>
      </c>
      <c r="J63" s="257" t="s">
        <v>907</v>
      </c>
      <c r="K63" s="259" t="s">
        <v>925</v>
      </c>
      <c r="L63" s="27" t="s">
        <v>1418</v>
      </c>
      <c r="M63" s="36"/>
      <c r="N63" s="29"/>
      <c r="O63" s="29"/>
      <c r="P63" s="29"/>
      <c r="Q63" s="10"/>
      <c r="R63" s="10"/>
      <c r="S63" s="10"/>
      <c r="T63" s="4" t="s">
        <v>184</v>
      </c>
      <c r="U63" s="4" t="s">
        <v>1354</v>
      </c>
      <c r="V63" s="10"/>
      <c r="W63" s="10"/>
      <c r="X63" s="10"/>
      <c r="Y63" s="10"/>
      <c r="Z63" s="33" t="s">
        <v>79</v>
      </c>
      <c r="AA63" s="32" t="s">
        <v>692</v>
      </c>
      <c r="AB63" s="32"/>
      <c r="AC63" s="10"/>
      <c r="AD63" s="10"/>
      <c r="AE63" s="10"/>
      <c r="AF63" s="10"/>
      <c r="AG63" s="10"/>
      <c r="AH63" s="10"/>
      <c r="AI63" s="10"/>
      <c r="AJ63" s="10"/>
      <c r="AK63" s="10"/>
      <c r="AL63" s="10"/>
      <c r="AM63" s="10"/>
      <c r="AN63" s="10"/>
      <c r="AO63" s="10"/>
      <c r="AP63" s="10"/>
      <c r="AQ63" s="10"/>
      <c r="AR63" s="10"/>
      <c r="AS63" s="10"/>
    </row>
    <row r="64" spans="1:45" ht="13">
      <c r="A64" s="10"/>
      <c r="B64" s="10"/>
      <c r="C64" s="10"/>
      <c r="D64" s="10"/>
      <c r="E64" s="10"/>
      <c r="F64" s="268"/>
      <c r="G64" s="32" t="s">
        <v>98</v>
      </c>
      <c r="H64" s="256"/>
      <c r="I64" s="254"/>
      <c r="J64" s="254"/>
      <c r="K64" s="260"/>
      <c r="L64" s="32" t="s">
        <v>1419</v>
      </c>
      <c r="M64" s="36"/>
      <c r="N64" s="29"/>
      <c r="O64" s="29"/>
      <c r="P64" s="29"/>
      <c r="Q64" s="10"/>
      <c r="R64" s="10"/>
      <c r="S64" s="10"/>
      <c r="T64" s="4" t="s">
        <v>188</v>
      </c>
      <c r="U64" s="4" t="s">
        <v>488</v>
      </c>
      <c r="V64" s="10"/>
      <c r="W64" s="10"/>
      <c r="X64" s="10"/>
      <c r="Y64" s="10"/>
      <c r="Z64" s="31" t="s">
        <v>84</v>
      </c>
      <c r="AA64" s="31" t="s">
        <v>1026</v>
      </c>
      <c r="AB64" s="27" t="s">
        <v>1406</v>
      </c>
      <c r="AC64" s="10"/>
      <c r="AD64" s="10"/>
      <c r="AE64" s="10"/>
      <c r="AF64" s="10"/>
      <c r="AG64" s="10"/>
      <c r="AH64" s="10"/>
      <c r="AI64" s="10"/>
      <c r="AJ64" s="10"/>
      <c r="AK64" s="10"/>
      <c r="AL64" s="10"/>
      <c r="AM64" s="10"/>
      <c r="AN64" s="10"/>
      <c r="AO64" s="10"/>
      <c r="AP64" s="10"/>
      <c r="AQ64" s="10"/>
      <c r="AR64" s="10"/>
      <c r="AS64" s="10"/>
    </row>
    <row r="65" spans="1:45" ht="13">
      <c r="A65" s="10"/>
      <c r="B65" s="10"/>
      <c r="C65" s="10"/>
      <c r="D65" s="10"/>
      <c r="E65" s="10"/>
      <c r="F65" s="268"/>
      <c r="G65" s="27" t="s">
        <v>102</v>
      </c>
      <c r="H65" s="255" t="s">
        <v>103</v>
      </c>
      <c r="I65" s="257" t="s">
        <v>929</v>
      </c>
      <c r="J65" s="257" t="s">
        <v>930</v>
      </c>
      <c r="K65" s="259" t="s">
        <v>946</v>
      </c>
      <c r="L65" s="27" t="s">
        <v>1407</v>
      </c>
      <c r="M65" s="36"/>
      <c r="N65" s="29"/>
      <c r="O65" s="29"/>
      <c r="P65" s="29"/>
      <c r="Q65" s="10"/>
      <c r="R65" s="10"/>
      <c r="S65" s="10"/>
      <c r="T65" s="10"/>
      <c r="U65" s="10"/>
      <c r="V65" s="10"/>
      <c r="W65" s="10"/>
      <c r="X65" s="10"/>
      <c r="Y65" s="10"/>
      <c r="Z65" s="33" t="s">
        <v>84</v>
      </c>
      <c r="AA65" s="33" t="s">
        <v>1435</v>
      </c>
      <c r="AB65" s="32" t="s">
        <v>1412</v>
      </c>
      <c r="AC65" s="10"/>
      <c r="AD65" s="10"/>
      <c r="AE65" s="10"/>
      <c r="AF65" s="10"/>
      <c r="AG65" s="10"/>
      <c r="AH65" s="10"/>
      <c r="AI65" s="10"/>
      <c r="AJ65" s="10"/>
      <c r="AK65" s="10"/>
      <c r="AL65" s="10"/>
      <c r="AM65" s="10"/>
      <c r="AN65" s="10"/>
      <c r="AO65" s="10"/>
      <c r="AP65" s="10"/>
      <c r="AQ65" s="10"/>
      <c r="AR65" s="10"/>
      <c r="AS65" s="10"/>
    </row>
    <row r="66" spans="1:45" ht="13">
      <c r="A66" s="10"/>
      <c r="B66" s="10"/>
      <c r="C66" s="10"/>
      <c r="D66" s="10"/>
      <c r="E66" s="10"/>
      <c r="F66" s="268"/>
      <c r="G66" s="32" t="s">
        <v>102</v>
      </c>
      <c r="H66" s="262"/>
      <c r="I66" s="258"/>
      <c r="J66" s="258"/>
      <c r="K66" s="263"/>
      <c r="L66" s="32" t="s">
        <v>1413</v>
      </c>
      <c r="M66" s="36"/>
      <c r="N66" s="29"/>
      <c r="O66" s="29"/>
      <c r="P66" s="29"/>
      <c r="Q66" s="10"/>
      <c r="R66" s="10"/>
      <c r="S66" s="10"/>
      <c r="T66" s="10"/>
      <c r="U66" s="10"/>
      <c r="V66" s="10"/>
      <c r="W66" s="10"/>
      <c r="X66" s="10"/>
      <c r="Y66" s="10"/>
      <c r="Z66" s="33" t="s">
        <v>84</v>
      </c>
      <c r="AA66" s="33" t="s">
        <v>692</v>
      </c>
      <c r="AB66" s="32"/>
      <c r="AC66" s="10"/>
      <c r="AD66" s="10"/>
      <c r="AE66" s="10"/>
      <c r="AF66" s="10"/>
      <c r="AG66" s="10"/>
      <c r="AH66" s="10"/>
      <c r="AI66" s="10"/>
      <c r="AJ66" s="10"/>
      <c r="AK66" s="10"/>
      <c r="AL66" s="10"/>
      <c r="AM66" s="10"/>
      <c r="AN66" s="10"/>
      <c r="AO66" s="10"/>
      <c r="AP66" s="10"/>
      <c r="AQ66" s="10"/>
      <c r="AR66" s="10"/>
      <c r="AS66" s="10"/>
    </row>
    <row r="67" spans="1:45" ht="13">
      <c r="A67" s="10"/>
      <c r="B67" s="10"/>
      <c r="C67" s="10"/>
      <c r="D67" s="10"/>
      <c r="E67" s="10"/>
      <c r="F67" s="268"/>
      <c r="G67" s="32" t="s">
        <v>102</v>
      </c>
      <c r="H67" s="262"/>
      <c r="I67" s="258"/>
      <c r="J67" s="258"/>
      <c r="K67" s="263"/>
      <c r="L67" s="32" t="s">
        <v>1432</v>
      </c>
      <c r="M67" s="36"/>
      <c r="N67" s="29"/>
      <c r="O67" s="29"/>
      <c r="P67" s="29"/>
      <c r="Q67" s="10"/>
      <c r="R67" s="10"/>
      <c r="S67" s="10"/>
      <c r="T67" s="10"/>
      <c r="U67" s="10"/>
      <c r="V67" s="10"/>
      <c r="W67" s="10"/>
      <c r="X67" s="10"/>
      <c r="Y67" s="10"/>
      <c r="Z67" s="33" t="s">
        <v>84</v>
      </c>
      <c r="AA67" s="35" t="s">
        <v>1453</v>
      </c>
      <c r="AB67" s="32"/>
      <c r="AC67" s="10"/>
      <c r="AD67" s="10"/>
      <c r="AE67" s="10"/>
      <c r="AF67" s="10"/>
      <c r="AG67" s="10"/>
      <c r="AH67" s="10"/>
      <c r="AI67" s="10"/>
      <c r="AJ67" s="10"/>
      <c r="AK67" s="10"/>
      <c r="AL67" s="10"/>
      <c r="AM67" s="10"/>
      <c r="AN67" s="10"/>
      <c r="AO67" s="10"/>
      <c r="AP67" s="10"/>
      <c r="AQ67" s="10"/>
      <c r="AR67" s="10"/>
      <c r="AS67" s="10"/>
    </row>
    <row r="68" spans="1:45" ht="13">
      <c r="A68" s="10"/>
      <c r="B68" s="10"/>
      <c r="C68" s="10"/>
      <c r="D68" s="10"/>
      <c r="E68" s="10"/>
      <c r="F68" s="268"/>
      <c r="G68" s="34" t="s">
        <v>102</v>
      </c>
      <c r="H68" s="256"/>
      <c r="I68" s="254"/>
      <c r="J68" s="254"/>
      <c r="K68" s="260"/>
      <c r="L68" s="34" t="s">
        <v>1418</v>
      </c>
      <c r="M68" s="36"/>
      <c r="N68" s="29"/>
      <c r="O68" s="29"/>
      <c r="P68" s="29"/>
      <c r="Q68" s="10"/>
      <c r="R68" s="10"/>
      <c r="S68" s="10"/>
      <c r="T68" s="10"/>
      <c r="U68" s="10"/>
      <c r="V68" s="10"/>
      <c r="W68" s="10"/>
      <c r="X68" s="10"/>
      <c r="Y68" s="10"/>
      <c r="Z68" s="27" t="s">
        <v>87</v>
      </c>
      <c r="AA68" s="31" t="s">
        <v>1405</v>
      </c>
      <c r="AB68" s="27" t="s">
        <v>270</v>
      </c>
      <c r="AC68" s="10"/>
      <c r="AD68" s="10"/>
      <c r="AE68" s="10"/>
      <c r="AF68" s="10"/>
      <c r="AG68" s="10"/>
      <c r="AH68" s="10"/>
      <c r="AI68" s="10"/>
      <c r="AJ68" s="10"/>
      <c r="AK68" s="10"/>
      <c r="AL68" s="10"/>
      <c r="AM68" s="10"/>
      <c r="AN68" s="10"/>
      <c r="AO68" s="10"/>
      <c r="AP68" s="10"/>
      <c r="AQ68" s="10"/>
      <c r="AR68" s="10"/>
      <c r="AS68" s="10"/>
    </row>
    <row r="69" spans="1:45" ht="13">
      <c r="A69" s="10"/>
      <c r="B69" s="10"/>
      <c r="C69" s="10"/>
      <c r="D69" s="10"/>
      <c r="E69" s="10"/>
      <c r="F69" s="268"/>
      <c r="G69" s="32" t="s">
        <v>106</v>
      </c>
      <c r="H69" s="257" t="s">
        <v>107</v>
      </c>
      <c r="I69" s="257" t="s">
        <v>950</v>
      </c>
      <c r="J69" s="257" t="s">
        <v>951</v>
      </c>
      <c r="K69" s="257" t="s">
        <v>964</v>
      </c>
      <c r="L69" s="261" t="s">
        <v>1413</v>
      </c>
      <c r="M69" s="36"/>
      <c r="N69" s="29"/>
      <c r="O69" s="29"/>
      <c r="P69" s="29"/>
      <c r="Q69" s="10"/>
      <c r="R69" s="10"/>
      <c r="S69" s="10"/>
      <c r="T69" s="10"/>
      <c r="U69" s="10"/>
      <c r="V69" s="10"/>
      <c r="W69" s="10"/>
      <c r="X69" s="10"/>
      <c r="Y69" s="10"/>
      <c r="Z69" s="32" t="s">
        <v>87</v>
      </c>
      <c r="AA69" s="44" t="s">
        <v>1423</v>
      </c>
      <c r="AB69" s="34"/>
      <c r="AC69" s="10"/>
      <c r="AD69" s="10"/>
      <c r="AE69" s="10"/>
      <c r="AF69" s="10"/>
      <c r="AG69" s="10"/>
      <c r="AH69" s="10"/>
      <c r="AI69" s="10"/>
      <c r="AJ69" s="10"/>
      <c r="AK69" s="10"/>
      <c r="AL69" s="10"/>
      <c r="AM69" s="10"/>
      <c r="AN69" s="10"/>
      <c r="AO69" s="10"/>
      <c r="AP69" s="10"/>
      <c r="AQ69" s="10"/>
      <c r="AR69" s="10"/>
      <c r="AS69" s="10"/>
    </row>
    <row r="70" spans="1:45" ht="13">
      <c r="A70" s="10"/>
      <c r="B70" s="10"/>
      <c r="C70" s="10"/>
      <c r="D70" s="10"/>
      <c r="E70" s="10"/>
      <c r="F70" s="268"/>
      <c r="G70" s="32" t="s">
        <v>106</v>
      </c>
      <c r="H70" s="254"/>
      <c r="I70" s="254"/>
      <c r="J70" s="254"/>
      <c r="K70" s="254"/>
      <c r="L70" s="254"/>
      <c r="M70" s="36"/>
      <c r="N70" s="29"/>
      <c r="O70" s="29"/>
      <c r="P70" s="29"/>
      <c r="Q70" s="10"/>
      <c r="R70" s="10"/>
      <c r="S70" s="10"/>
      <c r="T70" s="10"/>
      <c r="U70" s="10"/>
      <c r="V70" s="10"/>
      <c r="W70" s="10"/>
      <c r="X70" s="10"/>
      <c r="Y70" s="10"/>
      <c r="Z70" s="31" t="s">
        <v>91</v>
      </c>
      <c r="AA70" s="27" t="s">
        <v>1428</v>
      </c>
      <c r="AB70" s="27" t="s">
        <v>1406</v>
      </c>
      <c r="AC70" s="10"/>
      <c r="AD70" s="10"/>
      <c r="AE70" s="10"/>
      <c r="AF70" s="10"/>
      <c r="AG70" s="10"/>
      <c r="AH70" s="10"/>
      <c r="AI70" s="10"/>
      <c r="AJ70" s="10"/>
      <c r="AK70" s="10"/>
      <c r="AL70" s="10"/>
      <c r="AM70" s="10"/>
      <c r="AN70" s="10"/>
      <c r="AO70" s="10"/>
      <c r="AP70" s="10"/>
      <c r="AQ70" s="10"/>
      <c r="AR70" s="10"/>
      <c r="AS70" s="10"/>
    </row>
    <row r="71" spans="1:45" ht="13">
      <c r="A71" s="10"/>
      <c r="B71" s="10"/>
      <c r="C71" s="10"/>
      <c r="D71" s="10"/>
      <c r="E71" s="10"/>
      <c r="F71" s="268"/>
      <c r="G71" s="27" t="s">
        <v>110</v>
      </c>
      <c r="H71" s="255" t="s">
        <v>111</v>
      </c>
      <c r="I71" s="257" t="s">
        <v>967</v>
      </c>
      <c r="J71" s="266" t="s">
        <v>968</v>
      </c>
      <c r="K71" s="257" t="s">
        <v>989</v>
      </c>
      <c r="L71" s="27" t="s">
        <v>1418</v>
      </c>
      <c r="M71" s="36"/>
      <c r="N71" s="29"/>
      <c r="O71" s="29"/>
      <c r="P71" s="29"/>
      <c r="Q71" s="10"/>
      <c r="R71" s="10"/>
      <c r="S71" s="10"/>
      <c r="T71" s="10"/>
      <c r="U71" s="10"/>
      <c r="V71" s="10"/>
      <c r="W71" s="10"/>
      <c r="X71" s="10"/>
      <c r="Y71" s="10"/>
      <c r="Z71" s="33" t="s">
        <v>91</v>
      </c>
      <c r="AA71" s="32" t="s">
        <v>692</v>
      </c>
      <c r="AB71" s="32"/>
      <c r="AC71" s="10"/>
      <c r="AD71" s="10"/>
      <c r="AE71" s="10"/>
      <c r="AF71" s="10"/>
      <c r="AG71" s="10"/>
      <c r="AH71" s="10"/>
      <c r="AI71" s="10"/>
      <c r="AJ71" s="10"/>
      <c r="AK71" s="10"/>
      <c r="AL71" s="10"/>
      <c r="AM71" s="10"/>
      <c r="AN71" s="10"/>
      <c r="AO71" s="10"/>
      <c r="AP71" s="10"/>
      <c r="AQ71" s="10"/>
      <c r="AR71" s="10"/>
      <c r="AS71" s="10"/>
    </row>
    <row r="72" spans="1:45" ht="13">
      <c r="A72" s="10"/>
      <c r="B72" s="10"/>
      <c r="C72" s="10"/>
      <c r="D72" s="10"/>
      <c r="E72" s="10"/>
      <c r="F72" s="268"/>
      <c r="G72" s="32" t="s">
        <v>110</v>
      </c>
      <c r="H72" s="256"/>
      <c r="I72" s="254"/>
      <c r="J72" s="254"/>
      <c r="K72" s="254"/>
      <c r="L72" s="34" t="s">
        <v>1407</v>
      </c>
      <c r="M72" s="36"/>
      <c r="N72" s="29"/>
      <c r="O72" s="29"/>
      <c r="P72" s="29"/>
      <c r="Q72" s="10"/>
      <c r="R72" s="10"/>
      <c r="S72" s="10"/>
      <c r="T72" s="10"/>
      <c r="U72" s="10"/>
      <c r="V72" s="10"/>
      <c r="W72" s="10"/>
      <c r="X72" s="10"/>
      <c r="Y72" s="10"/>
      <c r="Z72" s="33" t="s">
        <v>91</v>
      </c>
      <c r="AA72" s="34"/>
      <c r="AB72" s="34"/>
      <c r="AC72" s="10"/>
      <c r="AD72" s="10"/>
      <c r="AE72" s="10"/>
      <c r="AF72" s="10"/>
      <c r="AG72" s="10"/>
      <c r="AH72" s="10"/>
      <c r="AI72" s="10"/>
      <c r="AJ72" s="10"/>
      <c r="AK72" s="10"/>
      <c r="AL72" s="10"/>
      <c r="AM72" s="10"/>
      <c r="AN72" s="10"/>
      <c r="AO72" s="10"/>
      <c r="AP72" s="10"/>
      <c r="AQ72" s="10"/>
      <c r="AR72" s="10"/>
      <c r="AS72" s="10"/>
    </row>
    <row r="73" spans="1:45" ht="13">
      <c r="A73" s="10"/>
      <c r="B73" s="10"/>
      <c r="C73" s="10"/>
      <c r="D73" s="10"/>
      <c r="E73" s="10"/>
      <c r="F73" s="268"/>
      <c r="G73" s="27" t="s">
        <v>114</v>
      </c>
      <c r="H73" s="255" t="s">
        <v>115</v>
      </c>
      <c r="I73" s="257" t="s">
        <v>992</v>
      </c>
      <c r="J73" s="266" t="s">
        <v>993</v>
      </c>
      <c r="K73" s="257" t="s">
        <v>1012</v>
      </c>
      <c r="L73" s="27" t="s">
        <v>1407</v>
      </c>
      <c r="M73" s="36"/>
      <c r="N73" s="29"/>
      <c r="O73" s="29"/>
      <c r="P73" s="29"/>
      <c r="Q73" s="10"/>
      <c r="R73" s="10"/>
      <c r="S73" s="10"/>
      <c r="T73" s="10"/>
      <c r="U73" s="10"/>
      <c r="V73" s="10"/>
      <c r="W73" s="10"/>
      <c r="X73" s="10"/>
      <c r="Y73" s="10"/>
      <c r="Z73" s="31" t="s">
        <v>95</v>
      </c>
      <c r="AA73" s="27" t="s">
        <v>1411</v>
      </c>
      <c r="AB73" s="27" t="s">
        <v>1406</v>
      </c>
      <c r="AC73" s="10"/>
      <c r="AD73" s="10"/>
      <c r="AE73" s="10"/>
      <c r="AF73" s="10"/>
      <c r="AG73" s="10"/>
      <c r="AH73" s="10"/>
      <c r="AI73" s="10"/>
      <c r="AJ73" s="10"/>
      <c r="AK73" s="10"/>
      <c r="AL73" s="10"/>
      <c r="AM73" s="10"/>
      <c r="AN73" s="10"/>
      <c r="AO73" s="10"/>
      <c r="AP73" s="10"/>
      <c r="AQ73" s="10"/>
      <c r="AR73" s="10"/>
      <c r="AS73" s="10"/>
    </row>
    <row r="74" spans="1:45" ht="13">
      <c r="A74" s="10"/>
      <c r="B74" s="10"/>
      <c r="C74" s="10"/>
      <c r="D74" s="10"/>
      <c r="E74" s="10"/>
      <c r="F74" s="268"/>
      <c r="G74" s="32" t="s">
        <v>114</v>
      </c>
      <c r="H74" s="262"/>
      <c r="I74" s="258"/>
      <c r="J74" s="258"/>
      <c r="K74" s="258"/>
      <c r="L74" s="32" t="s">
        <v>1418</v>
      </c>
      <c r="M74" s="36"/>
      <c r="N74" s="29"/>
      <c r="O74" s="29"/>
      <c r="P74" s="29"/>
      <c r="Q74" s="10"/>
      <c r="R74" s="10"/>
      <c r="S74" s="10"/>
      <c r="T74" s="10"/>
      <c r="U74" s="10"/>
      <c r="V74" s="10"/>
      <c r="W74" s="10"/>
      <c r="X74" s="10"/>
      <c r="Y74" s="10"/>
      <c r="Z74" s="33" t="s">
        <v>95</v>
      </c>
      <c r="AA74" s="32" t="s">
        <v>1457</v>
      </c>
      <c r="AB74" s="32"/>
      <c r="AC74" s="10"/>
      <c r="AD74" s="10"/>
      <c r="AE74" s="10"/>
      <c r="AF74" s="10"/>
      <c r="AG74" s="10"/>
      <c r="AH74" s="10"/>
      <c r="AI74" s="10"/>
      <c r="AJ74" s="10"/>
      <c r="AK74" s="10"/>
      <c r="AL74" s="10"/>
      <c r="AM74" s="10"/>
      <c r="AN74" s="10"/>
      <c r="AO74" s="10"/>
      <c r="AP74" s="10"/>
      <c r="AQ74" s="10"/>
      <c r="AR74" s="10"/>
      <c r="AS74" s="10"/>
    </row>
    <row r="75" spans="1:45" ht="29.25" customHeight="1">
      <c r="A75" s="10"/>
      <c r="B75" s="10"/>
      <c r="C75" s="10"/>
      <c r="D75" s="10"/>
      <c r="E75" s="10"/>
      <c r="F75" s="268"/>
      <c r="G75" s="34" t="s">
        <v>114</v>
      </c>
      <c r="H75" s="256"/>
      <c r="I75" s="254"/>
      <c r="J75" s="254"/>
      <c r="K75" s="254"/>
      <c r="L75" s="34" t="s">
        <v>1419</v>
      </c>
      <c r="M75" s="36"/>
      <c r="N75" s="29"/>
      <c r="O75" s="29"/>
      <c r="P75" s="29"/>
      <c r="Q75" s="10"/>
      <c r="R75" s="10"/>
      <c r="S75" s="10"/>
      <c r="T75" s="10"/>
      <c r="U75" s="10"/>
      <c r="V75" s="10"/>
      <c r="W75" s="10"/>
      <c r="X75" s="10"/>
      <c r="Y75" s="10"/>
      <c r="Z75" s="33" t="s">
        <v>95</v>
      </c>
      <c r="AA75" s="32" t="s">
        <v>692</v>
      </c>
      <c r="AB75" s="32"/>
      <c r="AC75" s="10"/>
      <c r="AD75" s="10"/>
      <c r="AE75" s="10"/>
      <c r="AF75" s="10"/>
      <c r="AG75" s="10"/>
      <c r="AH75" s="10"/>
      <c r="AI75" s="10"/>
      <c r="AJ75" s="10"/>
      <c r="AK75" s="10"/>
      <c r="AL75" s="10"/>
      <c r="AM75" s="10"/>
      <c r="AN75" s="10"/>
      <c r="AO75" s="10"/>
      <c r="AP75" s="10"/>
      <c r="AQ75" s="10"/>
      <c r="AR75" s="10"/>
      <c r="AS75" s="10"/>
    </row>
    <row r="76" spans="1:45" ht="29.25" customHeight="1">
      <c r="A76" s="10"/>
      <c r="B76" s="10"/>
      <c r="C76" s="10"/>
      <c r="D76" s="10"/>
      <c r="E76" s="10"/>
      <c r="F76" s="268"/>
      <c r="G76" s="32" t="s">
        <v>119</v>
      </c>
      <c r="H76" s="42" t="s">
        <v>120</v>
      </c>
      <c r="I76" s="42" t="s">
        <v>1016</v>
      </c>
      <c r="J76" s="46" t="s">
        <v>1017</v>
      </c>
      <c r="K76" s="42" t="s">
        <v>1032</v>
      </c>
      <c r="L76" s="4" t="s">
        <v>1407</v>
      </c>
      <c r="M76" s="36"/>
      <c r="N76" s="29"/>
      <c r="O76" s="29"/>
      <c r="P76" s="29"/>
      <c r="Q76" s="10"/>
      <c r="R76" s="10"/>
      <c r="S76" s="10"/>
      <c r="T76" s="10"/>
      <c r="U76" s="10"/>
      <c r="V76" s="10"/>
      <c r="W76" s="10"/>
      <c r="X76" s="10"/>
      <c r="Y76" s="10"/>
      <c r="Z76" s="31" t="s">
        <v>98</v>
      </c>
      <c r="AA76" s="31" t="s">
        <v>1411</v>
      </c>
      <c r="AB76" s="27" t="s">
        <v>1406</v>
      </c>
      <c r="AC76" s="10"/>
      <c r="AD76" s="10"/>
      <c r="AE76" s="10"/>
      <c r="AF76" s="10"/>
      <c r="AG76" s="10"/>
      <c r="AH76" s="10"/>
      <c r="AI76" s="10"/>
      <c r="AJ76" s="10"/>
      <c r="AK76" s="10"/>
      <c r="AL76" s="10"/>
      <c r="AM76" s="10"/>
      <c r="AN76" s="10"/>
      <c r="AO76" s="10"/>
      <c r="AP76" s="10"/>
      <c r="AQ76" s="10"/>
      <c r="AR76" s="10"/>
      <c r="AS76" s="10"/>
    </row>
    <row r="77" spans="1:45" ht="27" customHeight="1">
      <c r="A77" s="10"/>
      <c r="B77" s="10"/>
      <c r="C77" s="10"/>
      <c r="D77" s="10"/>
      <c r="E77" s="10"/>
      <c r="F77" s="268"/>
      <c r="G77" s="27" t="s">
        <v>124</v>
      </c>
      <c r="H77" s="255" t="s">
        <v>125</v>
      </c>
      <c r="I77" s="257" t="s">
        <v>1034</v>
      </c>
      <c r="J77" s="266" t="s">
        <v>1035</v>
      </c>
      <c r="K77" s="257" t="s">
        <v>1052</v>
      </c>
      <c r="L77" s="27" t="s">
        <v>1418</v>
      </c>
      <c r="M77" s="36"/>
      <c r="N77" s="29"/>
      <c r="O77" s="29"/>
      <c r="P77" s="29"/>
      <c r="Q77" s="10"/>
      <c r="R77" s="10"/>
      <c r="S77" s="10"/>
      <c r="T77" s="10"/>
      <c r="U77" s="10"/>
      <c r="V77" s="10"/>
      <c r="W77" s="10"/>
      <c r="X77" s="10"/>
      <c r="Y77" s="10"/>
      <c r="Z77" s="33" t="s">
        <v>98</v>
      </c>
      <c r="AA77" s="35" t="s">
        <v>692</v>
      </c>
      <c r="AB77" s="34"/>
      <c r="AC77" s="10"/>
      <c r="AD77" s="10"/>
      <c r="AE77" s="10"/>
      <c r="AF77" s="10"/>
      <c r="AG77" s="10"/>
      <c r="AH77" s="10"/>
      <c r="AI77" s="10"/>
      <c r="AJ77" s="10"/>
      <c r="AK77" s="10"/>
      <c r="AL77" s="10"/>
      <c r="AM77" s="10"/>
      <c r="AN77" s="10"/>
      <c r="AO77" s="10"/>
      <c r="AP77" s="10"/>
      <c r="AQ77" s="10"/>
      <c r="AR77" s="10"/>
      <c r="AS77" s="10"/>
    </row>
    <row r="78" spans="1:45" ht="18" customHeight="1">
      <c r="A78" s="10"/>
      <c r="B78" s="10"/>
      <c r="C78" s="10"/>
      <c r="D78" s="10"/>
      <c r="E78" s="10"/>
      <c r="F78" s="268"/>
      <c r="G78" s="34" t="s">
        <v>124</v>
      </c>
      <c r="H78" s="256"/>
      <c r="I78" s="254"/>
      <c r="J78" s="254"/>
      <c r="K78" s="254"/>
      <c r="L78" s="34" t="s">
        <v>1407</v>
      </c>
      <c r="M78" s="36"/>
      <c r="N78" s="29"/>
      <c r="O78" s="29"/>
      <c r="P78" s="29"/>
      <c r="Q78" s="10"/>
      <c r="R78" s="10"/>
      <c r="S78" s="10"/>
      <c r="T78" s="10"/>
      <c r="U78" s="10"/>
      <c r="V78" s="10"/>
      <c r="W78" s="10"/>
      <c r="X78" s="10"/>
      <c r="Y78" s="10"/>
      <c r="Z78" s="27" t="s">
        <v>102</v>
      </c>
      <c r="AA78" s="27" t="s">
        <v>1411</v>
      </c>
      <c r="AB78" s="27" t="s">
        <v>1412</v>
      </c>
      <c r="AC78" s="10"/>
      <c r="AD78" s="10"/>
      <c r="AE78" s="10"/>
      <c r="AF78" s="10"/>
      <c r="AG78" s="10"/>
      <c r="AH78" s="10"/>
      <c r="AI78" s="10"/>
      <c r="AJ78" s="10"/>
      <c r="AK78" s="10"/>
      <c r="AL78" s="10"/>
      <c r="AM78" s="10"/>
      <c r="AN78" s="10"/>
      <c r="AO78" s="10"/>
      <c r="AP78" s="10"/>
      <c r="AQ78" s="10"/>
      <c r="AR78" s="10"/>
      <c r="AS78" s="10"/>
    </row>
    <row r="79" spans="1:45" ht="16.5" customHeight="1">
      <c r="A79" s="10"/>
      <c r="B79" s="10"/>
      <c r="C79" s="10"/>
      <c r="D79" s="10"/>
      <c r="E79" s="10"/>
      <c r="F79" s="268"/>
      <c r="G79" s="32" t="s">
        <v>129</v>
      </c>
      <c r="H79" s="42" t="s">
        <v>130</v>
      </c>
      <c r="I79" s="42" t="s">
        <v>1056</v>
      </c>
      <c r="J79" s="46" t="s">
        <v>1057</v>
      </c>
      <c r="K79" s="28" t="s">
        <v>1075</v>
      </c>
      <c r="L79" s="10" t="s">
        <v>1418</v>
      </c>
      <c r="M79" s="36"/>
      <c r="N79" s="29"/>
      <c r="O79" s="29"/>
      <c r="P79" s="29"/>
      <c r="Q79" s="10"/>
      <c r="R79" s="10"/>
      <c r="S79" s="10"/>
      <c r="T79" s="10"/>
      <c r="U79" s="10"/>
      <c r="V79" s="10"/>
      <c r="W79" s="10"/>
      <c r="X79" s="10"/>
      <c r="Y79" s="10"/>
      <c r="Z79" s="32" t="s">
        <v>102</v>
      </c>
      <c r="AA79" s="32" t="s">
        <v>1405</v>
      </c>
      <c r="AB79" s="27" t="s">
        <v>1406</v>
      </c>
      <c r="AC79" s="10"/>
      <c r="AD79" s="10"/>
      <c r="AE79" s="10"/>
      <c r="AF79" s="10"/>
      <c r="AG79" s="10"/>
      <c r="AH79" s="10"/>
      <c r="AI79" s="10"/>
      <c r="AJ79" s="10"/>
      <c r="AK79" s="10"/>
      <c r="AL79" s="10"/>
      <c r="AM79" s="10"/>
      <c r="AN79" s="10"/>
      <c r="AO79" s="10"/>
      <c r="AP79" s="10"/>
      <c r="AQ79" s="10"/>
      <c r="AR79" s="10"/>
      <c r="AS79" s="10"/>
    </row>
    <row r="80" spans="1:45" ht="22.5" customHeight="1">
      <c r="A80" s="10"/>
      <c r="B80" s="10"/>
      <c r="C80" s="10"/>
      <c r="D80" s="10"/>
      <c r="E80" s="10"/>
      <c r="F80" s="268"/>
      <c r="G80" s="27" t="s">
        <v>132</v>
      </c>
      <c r="H80" s="255" t="s">
        <v>133</v>
      </c>
      <c r="I80" s="257" t="s">
        <v>1078</v>
      </c>
      <c r="J80" s="266" t="s">
        <v>1079</v>
      </c>
      <c r="K80" s="264" t="s">
        <v>1094</v>
      </c>
      <c r="L80" s="27" t="s">
        <v>1418</v>
      </c>
      <c r="M80" s="36"/>
      <c r="N80" s="29"/>
      <c r="O80" s="29"/>
      <c r="P80" s="29"/>
      <c r="Q80" s="10"/>
      <c r="R80" s="10"/>
      <c r="S80" s="10"/>
      <c r="T80" s="10"/>
      <c r="U80" s="10"/>
      <c r="V80" s="10"/>
      <c r="W80" s="10"/>
      <c r="X80" s="10"/>
      <c r="Y80" s="10"/>
      <c r="Z80" s="32" t="s">
        <v>102</v>
      </c>
      <c r="AA80" s="32" t="s">
        <v>692</v>
      </c>
      <c r="AB80" s="32"/>
      <c r="AC80" s="10"/>
      <c r="AD80" s="10"/>
      <c r="AE80" s="10"/>
      <c r="AF80" s="10"/>
      <c r="AG80" s="10"/>
      <c r="AH80" s="10"/>
      <c r="AI80" s="10"/>
      <c r="AJ80" s="10"/>
      <c r="AK80" s="10"/>
      <c r="AL80" s="10"/>
      <c r="AM80" s="10"/>
      <c r="AN80" s="10"/>
      <c r="AO80" s="10"/>
      <c r="AP80" s="10"/>
      <c r="AQ80" s="10"/>
      <c r="AR80" s="10"/>
      <c r="AS80" s="10"/>
    </row>
    <row r="81" spans="1:45" ht="22.5" customHeight="1">
      <c r="A81" s="10"/>
      <c r="B81" s="10"/>
      <c r="C81" s="10"/>
      <c r="D81" s="10"/>
      <c r="E81" s="10"/>
      <c r="F81" s="268"/>
      <c r="G81" s="32" t="s">
        <v>132</v>
      </c>
      <c r="H81" s="256"/>
      <c r="I81" s="254"/>
      <c r="J81" s="254"/>
      <c r="K81" s="258"/>
      <c r="L81" s="34" t="s">
        <v>1445</v>
      </c>
      <c r="M81" s="36"/>
      <c r="N81" s="29"/>
      <c r="O81" s="29"/>
      <c r="P81" s="29"/>
      <c r="Q81" s="10"/>
      <c r="R81" s="10"/>
      <c r="S81" s="10"/>
      <c r="T81" s="10"/>
      <c r="U81" s="10"/>
      <c r="V81" s="10"/>
      <c r="W81" s="10"/>
      <c r="X81" s="10"/>
      <c r="Y81" s="10"/>
      <c r="Z81" s="32" t="s">
        <v>102</v>
      </c>
      <c r="AA81" s="34" t="s">
        <v>1416</v>
      </c>
      <c r="AB81" s="32"/>
      <c r="AC81" s="10"/>
      <c r="AD81" s="10"/>
      <c r="AE81" s="10"/>
      <c r="AF81" s="10"/>
      <c r="AG81" s="10"/>
      <c r="AH81" s="10"/>
      <c r="AI81" s="10"/>
      <c r="AJ81" s="10"/>
      <c r="AK81" s="10"/>
      <c r="AL81" s="10"/>
      <c r="AM81" s="10"/>
      <c r="AN81" s="10"/>
      <c r="AO81" s="10"/>
      <c r="AP81" s="10"/>
      <c r="AQ81" s="10"/>
      <c r="AR81" s="10"/>
      <c r="AS81" s="10"/>
    </row>
    <row r="82" spans="1:45" ht="13">
      <c r="A82" s="10"/>
      <c r="B82" s="10"/>
      <c r="C82" s="10"/>
      <c r="D82" s="10"/>
      <c r="E82" s="10"/>
      <c r="F82" s="268"/>
      <c r="G82" s="27" t="s">
        <v>136</v>
      </c>
      <c r="H82" s="255" t="s">
        <v>137</v>
      </c>
      <c r="I82" s="257" t="s">
        <v>1098</v>
      </c>
      <c r="J82" s="266" t="s">
        <v>1099</v>
      </c>
      <c r="K82" s="257" t="s">
        <v>1116</v>
      </c>
      <c r="L82" s="27" t="s">
        <v>1407</v>
      </c>
      <c r="M82" s="36"/>
      <c r="N82" s="29"/>
      <c r="O82" s="29"/>
      <c r="P82" s="29"/>
      <c r="Q82" s="10"/>
      <c r="R82" s="10"/>
      <c r="S82" s="10"/>
      <c r="T82" s="10"/>
      <c r="U82" s="10"/>
      <c r="V82" s="10"/>
      <c r="W82" s="10"/>
      <c r="X82" s="10"/>
      <c r="Y82" s="10"/>
      <c r="Z82" s="27" t="s">
        <v>106</v>
      </c>
      <c r="AA82" s="10" t="s">
        <v>1405</v>
      </c>
      <c r="AB82" s="27" t="s">
        <v>1458</v>
      </c>
      <c r="AC82" s="10"/>
      <c r="AD82" s="10"/>
      <c r="AE82" s="10"/>
      <c r="AF82" s="10"/>
      <c r="AG82" s="10"/>
      <c r="AH82" s="10"/>
      <c r="AI82" s="10"/>
      <c r="AJ82" s="10"/>
      <c r="AK82" s="10"/>
      <c r="AL82" s="10"/>
      <c r="AM82" s="10"/>
      <c r="AN82" s="10"/>
      <c r="AO82" s="10"/>
      <c r="AP82" s="10"/>
      <c r="AQ82" s="10"/>
      <c r="AR82" s="10"/>
      <c r="AS82" s="10"/>
    </row>
    <row r="83" spans="1:45" ht="18" customHeight="1">
      <c r="A83" s="10"/>
      <c r="B83" s="10"/>
      <c r="C83" s="10"/>
      <c r="D83" s="10"/>
      <c r="E83" s="10"/>
      <c r="F83" s="268"/>
      <c r="G83" s="34" t="s">
        <v>136</v>
      </c>
      <c r="H83" s="256"/>
      <c r="I83" s="254"/>
      <c r="J83" s="254"/>
      <c r="K83" s="254"/>
      <c r="L83" s="34" t="s">
        <v>1418</v>
      </c>
      <c r="M83" s="36"/>
      <c r="N83" s="29"/>
      <c r="O83" s="29"/>
      <c r="P83" s="29"/>
      <c r="Q83" s="10"/>
      <c r="R83" s="10"/>
      <c r="S83" s="10"/>
      <c r="T83" s="10"/>
      <c r="U83" s="10"/>
      <c r="V83" s="10"/>
      <c r="W83" s="10"/>
      <c r="X83" s="10"/>
      <c r="Y83" s="10"/>
      <c r="Z83" s="32" t="s">
        <v>106</v>
      </c>
      <c r="AA83" s="10" t="s">
        <v>1411</v>
      </c>
      <c r="AB83" s="32" t="s">
        <v>1455</v>
      </c>
      <c r="AC83" s="10"/>
      <c r="AD83" s="10"/>
      <c r="AE83" s="10"/>
      <c r="AF83" s="10"/>
      <c r="AG83" s="10"/>
      <c r="AH83" s="10"/>
      <c r="AI83" s="10"/>
      <c r="AJ83" s="10"/>
      <c r="AK83" s="10"/>
      <c r="AL83" s="10"/>
      <c r="AM83" s="10"/>
      <c r="AN83" s="10"/>
      <c r="AO83" s="10"/>
      <c r="AP83" s="10"/>
      <c r="AQ83" s="10"/>
      <c r="AR83" s="10"/>
      <c r="AS83" s="10"/>
    </row>
    <row r="84" spans="1:45" ht="21" customHeight="1">
      <c r="A84" s="10"/>
      <c r="B84" s="10"/>
      <c r="C84" s="10"/>
      <c r="D84" s="10"/>
      <c r="E84" s="10"/>
      <c r="F84" s="268"/>
      <c r="G84" s="32" t="s">
        <v>140</v>
      </c>
      <c r="H84" s="257" t="s">
        <v>141</v>
      </c>
      <c r="I84" s="257" t="s">
        <v>1119</v>
      </c>
      <c r="J84" s="266" t="s">
        <v>1120</v>
      </c>
      <c r="K84" s="264" t="s">
        <v>1141</v>
      </c>
      <c r="L84" s="27" t="s">
        <v>1419</v>
      </c>
      <c r="M84" s="36"/>
      <c r="N84" s="29"/>
      <c r="O84" s="29"/>
      <c r="P84" s="29"/>
      <c r="Q84" s="10"/>
      <c r="R84" s="10"/>
      <c r="S84" s="10"/>
      <c r="T84" s="10"/>
      <c r="U84" s="10"/>
      <c r="V84" s="10"/>
      <c r="W84" s="10"/>
      <c r="X84" s="10"/>
      <c r="Y84" s="10"/>
      <c r="Z84" s="32" t="s">
        <v>106</v>
      </c>
      <c r="AA84" s="34" t="s">
        <v>1423</v>
      </c>
      <c r="AB84" s="32"/>
      <c r="AC84" s="10"/>
      <c r="AD84" s="10"/>
      <c r="AE84" s="10"/>
      <c r="AF84" s="10"/>
      <c r="AG84" s="10"/>
      <c r="AH84" s="10"/>
      <c r="AI84" s="10"/>
      <c r="AJ84" s="10"/>
      <c r="AK84" s="10"/>
      <c r="AL84" s="10"/>
      <c r="AM84" s="10"/>
      <c r="AN84" s="10"/>
      <c r="AO84" s="10"/>
      <c r="AP84" s="10"/>
      <c r="AQ84" s="10"/>
      <c r="AR84" s="10"/>
      <c r="AS84" s="10"/>
    </row>
    <row r="85" spans="1:45" ht="21" customHeight="1">
      <c r="A85" s="10"/>
      <c r="B85" s="10"/>
      <c r="C85" s="10"/>
      <c r="D85" s="10"/>
      <c r="E85" s="10"/>
      <c r="F85" s="268"/>
      <c r="G85" s="32" t="s">
        <v>140</v>
      </c>
      <c r="H85" s="254"/>
      <c r="I85" s="254"/>
      <c r="J85" s="254"/>
      <c r="K85" s="254"/>
      <c r="L85" s="34" t="s">
        <v>1418</v>
      </c>
      <c r="M85" s="36"/>
      <c r="N85" s="29"/>
      <c r="O85" s="29"/>
      <c r="P85" s="29"/>
      <c r="Q85" s="10"/>
      <c r="R85" s="10"/>
      <c r="S85" s="10"/>
      <c r="T85" s="10"/>
      <c r="U85" s="10"/>
      <c r="V85" s="10"/>
      <c r="W85" s="10"/>
      <c r="X85" s="10"/>
      <c r="Y85" s="10"/>
      <c r="Z85" s="31" t="s">
        <v>110</v>
      </c>
      <c r="AA85" s="31" t="s">
        <v>1411</v>
      </c>
      <c r="AB85" s="27" t="s">
        <v>1406</v>
      </c>
      <c r="AC85" s="10"/>
      <c r="AD85" s="10"/>
      <c r="AE85" s="10"/>
      <c r="AF85" s="10"/>
      <c r="AG85" s="10"/>
      <c r="AH85" s="10"/>
      <c r="AI85" s="10"/>
      <c r="AJ85" s="10"/>
      <c r="AK85" s="10"/>
      <c r="AL85" s="10"/>
      <c r="AM85" s="10"/>
      <c r="AN85" s="10"/>
      <c r="AO85" s="10"/>
      <c r="AP85" s="10"/>
      <c r="AQ85" s="10"/>
      <c r="AR85" s="10"/>
      <c r="AS85" s="10"/>
    </row>
    <row r="86" spans="1:45" ht="21" customHeight="1">
      <c r="A86" s="10"/>
      <c r="B86" s="10"/>
      <c r="C86" s="10"/>
      <c r="D86" s="10"/>
      <c r="E86" s="10"/>
      <c r="F86" s="268"/>
      <c r="G86" s="27" t="s">
        <v>144</v>
      </c>
      <c r="H86" s="255" t="s">
        <v>145</v>
      </c>
      <c r="I86" s="257" t="s">
        <v>1145</v>
      </c>
      <c r="J86" s="266" t="s">
        <v>1146</v>
      </c>
      <c r="K86" s="257" t="s">
        <v>1164</v>
      </c>
      <c r="L86" s="27" t="s">
        <v>1445</v>
      </c>
      <c r="M86" s="36"/>
      <c r="N86" s="29"/>
      <c r="O86" s="29"/>
      <c r="P86" s="29"/>
      <c r="Q86" s="10"/>
      <c r="R86" s="10"/>
      <c r="S86" s="10"/>
      <c r="T86" s="10"/>
      <c r="U86" s="10"/>
      <c r="V86" s="10"/>
      <c r="W86" s="10"/>
      <c r="X86" s="10"/>
      <c r="Y86" s="10"/>
      <c r="Z86" s="33" t="s">
        <v>110</v>
      </c>
      <c r="AA86" s="33" t="s">
        <v>1405</v>
      </c>
      <c r="AB86" s="32"/>
      <c r="AC86" s="10"/>
      <c r="AD86" s="10"/>
      <c r="AE86" s="10"/>
      <c r="AF86" s="10"/>
      <c r="AG86" s="10"/>
      <c r="AH86" s="10"/>
      <c r="AI86" s="10"/>
      <c r="AJ86" s="10"/>
      <c r="AK86" s="10"/>
      <c r="AL86" s="10"/>
      <c r="AM86" s="10"/>
      <c r="AN86" s="10"/>
      <c r="AO86" s="10"/>
      <c r="AP86" s="10"/>
      <c r="AQ86" s="10"/>
      <c r="AR86" s="10"/>
      <c r="AS86" s="10"/>
    </row>
    <row r="87" spans="1:45" ht="21" customHeight="1">
      <c r="A87" s="10"/>
      <c r="B87" s="10"/>
      <c r="C87" s="10"/>
      <c r="D87" s="10"/>
      <c r="E87" s="10"/>
      <c r="F87" s="268"/>
      <c r="G87" s="32" t="s">
        <v>144</v>
      </c>
      <c r="H87" s="262"/>
      <c r="I87" s="258"/>
      <c r="J87" s="258"/>
      <c r="K87" s="258"/>
      <c r="L87" s="32" t="s">
        <v>1407</v>
      </c>
      <c r="M87" s="36"/>
      <c r="N87" s="29"/>
      <c r="O87" s="29"/>
      <c r="P87" s="29"/>
      <c r="Q87" s="10"/>
      <c r="R87" s="10"/>
      <c r="S87" s="10"/>
      <c r="T87" s="10"/>
      <c r="U87" s="10"/>
      <c r="V87" s="10"/>
      <c r="W87" s="10"/>
      <c r="X87" s="10"/>
      <c r="Y87" s="10"/>
      <c r="Z87" s="33" t="s">
        <v>110</v>
      </c>
      <c r="AA87" s="33"/>
      <c r="AB87" s="32"/>
      <c r="AC87" s="10"/>
      <c r="AD87" s="10"/>
      <c r="AE87" s="10"/>
      <c r="AF87" s="10"/>
      <c r="AG87" s="10"/>
      <c r="AH87" s="10"/>
      <c r="AI87" s="10"/>
      <c r="AJ87" s="10"/>
      <c r="AK87" s="10"/>
      <c r="AL87" s="10"/>
      <c r="AM87" s="10"/>
      <c r="AN87" s="10"/>
      <c r="AO87" s="10"/>
      <c r="AP87" s="10"/>
      <c r="AQ87" s="10"/>
      <c r="AR87" s="10"/>
      <c r="AS87" s="10"/>
    </row>
    <row r="88" spans="1:45" ht="25.5" customHeight="1">
      <c r="A88" s="10"/>
      <c r="B88" s="10"/>
      <c r="C88" s="10"/>
      <c r="D88" s="10"/>
      <c r="E88" s="10"/>
      <c r="F88" s="268"/>
      <c r="G88" s="32" t="s">
        <v>144</v>
      </c>
      <c r="H88" s="262"/>
      <c r="I88" s="258"/>
      <c r="J88" s="258"/>
      <c r="K88" s="258"/>
      <c r="L88" s="253" t="s">
        <v>1418</v>
      </c>
      <c r="M88" s="36"/>
      <c r="N88" s="29"/>
      <c r="O88" s="29"/>
      <c r="P88" s="29"/>
      <c r="Q88" s="10"/>
      <c r="R88" s="10"/>
      <c r="S88" s="10"/>
      <c r="T88" s="10"/>
      <c r="U88" s="10"/>
      <c r="V88" s="10"/>
      <c r="W88" s="10"/>
      <c r="X88" s="10"/>
      <c r="Y88" s="10"/>
      <c r="Z88" s="33" t="s">
        <v>110</v>
      </c>
      <c r="AA88" s="33" t="s">
        <v>692</v>
      </c>
      <c r="AB88" s="32"/>
      <c r="AC88" s="10"/>
      <c r="AD88" s="10"/>
      <c r="AE88" s="10"/>
      <c r="AF88" s="10"/>
      <c r="AG88" s="10"/>
      <c r="AH88" s="10"/>
      <c r="AI88" s="10"/>
      <c r="AJ88" s="10"/>
      <c r="AK88" s="10"/>
      <c r="AL88" s="10"/>
      <c r="AM88" s="10"/>
      <c r="AN88" s="10"/>
      <c r="AO88" s="10"/>
      <c r="AP88" s="10"/>
      <c r="AQ88" s="10"/>
      <c r="AR88" s="10"/>
      <c r="AS88" s="10"/>
    </row>
    <row r="89" spans="1:45" ht="25.5" customHeight="1">
      <c r="A89" s="10"/>
      <c r="B89" s="10"/>
      <c r="C89" s="10"/>
      <c r="D89" s="10"/>
      <c r="E89" s="10"/>
      <c r="F89" s="268"/>
      <c r="G89" s="34" t="s">
        <v>144</v>
      </c>
      <c r="H89" s="256"/>
      <c r="I89" s="254"/>
      <c r="J89" s="254"/>
      <c r="K89" s="254"/>
      <c r="L89" s="254"/>
      <c r="M89" s="36"/>
      <c r="N89" s="29"/>
      <c r="O89" s="29"/>
      <c r="P89" s="29"/>
      <c r="Q89" s="10"/>
      <c r="R89" s="10"/>
      <c r="S89" s="10"/>
      <c r="T89" s="10"/>
      <c r="U89" s="10"/>
      <c r="V89" s="10"/>
      <c r="W89" s="10"/>
      <c r="X89" s="10"/>
      <c r="Y89" s="10"/>
      <c r="Z89" s="33" t="s">
        <v>110</v>
      </c>
      <c r="AA89" s="33"/>
      <c r="AB89" s="32"/>
      <c r="AC89" s="10"/>
      <c r="AD89" s="10"/>
      <c r="AE89" s="10"/>
      <c r="AF89" s="10"/>
      <c r="AG89" s="10"/>
      <c r="AH89" s="10"/>
      <c r="AI89" s="10"/>
      <c r="AJ89" s="10"/>
      <c r="AK89" s="10"/>
      <c r="AL89" s="10"/>
      <c r="AM89" s="10"/>
      <c r="AN89" s="10"/>
      <c r="AO89" s="10"/>
      <c r="AP89" s="10"/>
      <c r="AQ89" s="10"/>
      <c r="AR89" s="10"/>
      <c r="AS89" s="10"/>
    </row>
    <row r="90" spans="1:45" ht="25.5" customHeight="1">
      <c r="A90" s="10"/>
      <c r="B90" s="10"/>
      <c r="C90" s="10"/>
      <c r="D90" s="10"/>
      <c r="E90" s="10"/>
      <c r="F90" s="268"/>
      <c r="G90" s="32" t="s">
        <v>147</v>
      </c>
      <c r="H90" s="257" t="s">
        <v>148</v>
      </c>
      <c r="I90" s="257" t="s">
        <v>1168</v>
      </c>
      <c r="J90" s="266" t="s">
        <v>1169</v>
      </c>
      <c r="K90" s="257" t="s">
        <v>1459</v>
      </c>
      <c r="L90" s="27" t="s">
        <v>1445</v>
      </c>
      <c r="M90" s="36"/>
      <c r="N90" s="29"/>
      <c r="O90" s="29"/>
      <c r="P90" s="29"/>
      <c r="Q90" s="10"/>
      <c r="R90" s="10"/>
      <c r="S90" s="10"/>
      <c r="T90" s="10"/>
      <c r="U90" s="10"/>
      <c r="V90" s="10"/>
      <c r="W90" s="10"/>
      <c r="X90" s="10"/>
      <c r="Y90" s="10"/>
      <c r="Z90" s="33" t="s">
        <v>110</v>
      </c>
      <c r="AA90" s="33" t="s">
        <v>1460</v>
      </c>
      <c r="AB90" s="32"/>
      <c r="AC90" s="10"/>
      <c r="AD90" s="10"/>
      <c r="AE90" s="10"/>
      <c r="AF90" s="10"/>
      <c r="AG90" s="10"/>
      <c r="AH90" s="10"/>
      <c r="AI90" s="10"/>
      <c r="AJ90" s="10"/>
      <c r="AK90" s="10"/>
      <c r="AL90" s="10"/>
      <c r="AM90" s="10"/>
      <c r="AN90" s="10"/>
      <c r="AO90" s="10"/>
      <c r="AP90" s="10"/>
      <c r="AQ90" s="10"/>
      <c r="AR90" s="10"/>
      <c r="AS90" s="10"/>
    </row>
    <row r="91" spans="1:45" ht="25.5" customHeight="1">
      <c r="A91" s="10"/>
      <c r="B91" s="10"/>
      <c r="C91" s="10"/>
      <c r="D91" s="10"/>
      <c r="E91" s="10"/>
      <c r="F91" s="268"/>
      <c r="G91" s="32" t="s">
        <v>147</v>
      </c>
      <c r="H91" s="258"/>
      <c r="I91" s="258"/>
      <c r="J91" s="258"/>
      <c r="K91" s="258"/>
      <c r="L91" s="32" t="s">
        <v>1407</v>
      </c>
      <c r="M91" s="36"/>
      <c r="N91" s="29"/>
      <c r="O91" s="29"/>
      <c r="P91" s="29"/>
      <c r="Q91" s="10"/>
      <c r="R91" s="10"/>
      <c r="S91" s="10"/>
      <c r="T91" s="10"/>
      <c r="U91" s="10"/>
      <c r="V91" s="10"/>
      <c r="W91" s="10"/>
      <c r="X91" s="10"/>
      <c r="Y91" s="10"/>
      <c r="Z91" s="31" t="s">
        <v>114</v>
      </c>
      <c r="AA91" s="31" t="s">
        <v>1405</v>
      </c>
      <c r="AB91" s="27"/>
      <c r="AC91" s="10"/>
      <c r="AD91" s="10"/>
      <c r="AE91" s="10"/>
      <c r="AF91" s="10"/>
      <c r="AG91" s="10"/>
      <c r="AH91" s="10"/>
      <c r="AI91" s="10"/>
      <c r="AJ91" s="10"/>
      <c r="AK91" s="10"/>
      <c r="AL91" s="10"/>
      <c r="AM91" s="10"/>
      <c r="AN91" s="10"/>
      <c r="AO91" s="10"/>
      <c r="AP91" s="10"/>
      <c r="AQ91" s="10"/>
      <c r="AR91" s="10"/>
      <c r="AS91" s="10"/>
    </row>
    <row r="92" spans="1:45" ht="42.75" customHeight="1">
      <c r="A92" s="10"/>
      <c r="B92" s="10"/>
      <c r="C92" s="10"/>
      <c r="D92" s="10"/>
      <c r="E92" s="10"/>
      <c r="F92" s="268"/>
      <c r="G92" s="32" t="s">
        <v>147</v>
      </c>
      <c r="H92" s="254"/>
      <c r="I92" s="254"/>
      <c r="J92" s="254"/>
      <c r="K92" s="254"/>
      <c r="L92" s="34" t="s">
        <v>1418</v>
      </c>
      <c r="M92" s="36"/>
      <c r="N92" s="29"/>
      <c r="O92" s="29"/>
      <c r="P92" s="29"/>
      <c r="Q92" s="10"/>
      <c r="R92" s="10"/>
      <c r="S92" s="10"/>
      <c r="T92" s="10"/>
      <c r="U92" s="10"/>
      <c r="V92" s="10"/>
      <c r="W92" s="10"/>
      <c r="X92" s="10"/>
      <c r="Y92" s="10"/>
      <c r="Z92" s="33" t="s">
        <v>114</v>
      </c>
      <c r="AA92" s="33"/>
      <c r="AB92" s="32" t="s">
        <v>1406</v>
      </c>
      <c r="AC92" s="10"/>
      <c r="AD92" s="10"/>
      <c r="AE92" s="10"/>
      <c r="AF92" s="10"/>
      <c r="AG92" s="10"/>
      <c r="AH92" s="10"/>
      <c r="AI92" s="10"/>
      <c r="AJ92" s="10"/>
      <c r="AK92" s="10"/>
      <c r="AL92" s="10"/>
      <c r="AM92" s="10"/>
      <c r="AN92" s="10"/>
      <c r="AO92" s="10"/>
      <c r="AP92" s="10"/>
      <c r="AQ92" s="10"/>
      <c r="AR92" s="10"/>
      <c r="AS92" s="10"/>
    </row>
    <row r="93" spans="1:45" ht="30.75" customHeight="1">
      <c r="A93" s="10"/>
      <c r="B93" s="10"/>
      <c r="C93" s="10"/>
      <c r="D93" s="10"/>
      <c r="E93" s="10"/>
      <c r="F93" s="268"/>
      <c r="G93" s="4" t="s">
        <v>151</v>
      </c>
      <c r="H93" s="42" t="s">
        <v>152</v>
      </c>
      <c r="I93" s="42" t="s">
        <v>1190</v>
      </c>
      <c r="J93" s="46" t="s">
        <v>1191</v>
      </c>
      <c r="K93" s="42" t="s">
        <v>1209</v>
      </c>
      <c r="L93" s="4" t="s">
        <v>1418</v>
      </c>
      <c r="M93" s="36"/>
      <c r="N93" s="29"/>
      <c r="O93" s="29"/>
      <c r="P93" s="29"/>
      <c r="Q93" s="10"/>
      <c r="R93" s="10"/>
      <c r="S93" s="10"/>
      <c r="T93" s="10"/>
      <c r="U93" s="10"/>
      <c r="V93" s="10"/>
      <c r="W93" s="10"/>
      <c r="X93" s="10"/>
      <c r="Y93" s="10"/>
      <c r="Z93" s="33" t="s">
        <v>114</v>
      </c>
      <c r="AA93" s="33" t="s">
        <v>692</v>
      </c>
      <c r="AB93" s="34"/>
      <c r="AC93" s="10"/>
      <c r="AD93" s="10"/>
      <c r="AE93" s="10"/>
      <c r="AF93" s="10"/>
      <c r="AG93" s="10"/>
      <c r="AH93" s="10"/>
      <c r="AI93" s="10"/>
      <c r="AJ93" s="10"/>
      <c r="AK93" s="10"/>
      <c r="AL93" s="10"/>
      <c r="AM93" s="10"/>
      <c r="AN93" s="10"/>
      <c r="AO93" s="10"/>
      <c r="AP93" s="10"/>
      <c r="AQ93" s="10"/>
      <c r="AR93" s="10"/>
      <c r="AS93" s="10"/>
    </row>
    <row r="94" spans="1:45" ht="22.5" customHeight="1">
      <c r="A94" s="10"/>
      <c r="B94" s="10"/>
      <c r="C94" s="10"/>
      <c r="D94" s="10"/>
      <c r="E94" s="10"/>
      <c r="F94" s="268"/>
      <c r="G94" s="27" t="s">
        <v>155</v>
      </c>
      <c r="H94" s="42" t="s">
        <v>156</v>
      </c>
      <c r="I94" s="42" t="s">
        <v>1212</v>
      </c>
      <c r="J94" s="46" t="s">
        <v>1213</v>
      </c>
      <c r="K94" s="42" t="s">
        <v>1233</v>
      </c>
      <c r="L94" s="4" t="s">
        <v>1418</v>
      </c>
      <c r="M94" s="36"/>
      <c r="N94" s="29"/>
      <c r="O94" s="29"/>
      <c r="P94" s="29"/>
      <c r="Q94" s="10"/>
      <c r="R94" s="10"/>
      <c r="S94" s="10"/>
      <c r="T94" s="10"/>
      <c r="U94" s="10"/>
      <c r="V94" s="10"/>
      <c r="W94" s="10"/>
      <c r="X94" s="10"/>
      <c r="Y94" s="10"/>
      <c r="Z94" s="31" t="s">
        <v>119</v>
      </c>
      <c r="AA94" s="27" t="s">
        <v>1411</v>
      </c>
      <c r="AB94" s="32" t="s">
        <v>1412</v>
      </c>
      <c r="AC94" s="10"/>
      <c r="AD94" s="10"/>
      <c r="AE94" s="10"/>
      <c r="AF94" s="10"/>
      <c r="AG94" s="10"/>
      <c r="AH94" s="10"/>
      <c r="AI94" s="10"/>
      <c r="AJ94" s="10"/>
      <c r="AK94" s="10"/>
      <c r="AL94" s="10"/>
      <c r="AM94" s="10"/>
      <c r="AN94" s="10"/>
      <c r="AO94" s="10"/>
      <c r="AP94" s="10"/>
      <c r="AQ94" s="10"/>
      <c r="AR94" s="10"/>
      <c r="AS94" s="10"/>
    </row>
    <row r="95" spans="1:45" ht="17.25" customHeight="1">
      <c r="A95" s="10"/>
      <c r="B95" s="10"/>
      <c r="C95" s="10"/>
      <c r="D95" s="10"/>
      <c r="E95" s="10"/>
      <c r="F95" s="268"/>
      <c r="G95" s="27" t="s">
        <v>159</v>
      </c>
      <c r="H95" s="255" t="s">
        <v>160</v>
      </c>
      <c r="I95" s="257" t="s">
        <v>1236</v>
      </c>
      <c r="J95" s="266" t="s">
        <v>1237</v>
      </c>
      <c r="K95" s="257" t="s">
        <v>1253</v>
      </c>
      <c r="L95" s="4" t="s">
        <v>1419</v>
      </c>
      <c r="M95" s="36"/>
      <c r="N95" s="29"/>
      <c r="O95" s="29"/>
      <c r="P95" s="29"/>
      <c r="Q95" s="10"/>
      <c r="R95" s="10"/>
      <c r="S95" s="10"/>
      <c r="T95" s="10"/>
      <c r="U95" s="10"/>
      <c r="V95" s="10"/>
      <c r="W95" s="10"/>
      <c r="X95" s="10"/>
      <c r="Y95" s="10"/>
      <c r="Z95" s="33" t="s">
        <v>119</v>
      </c>
      <c r="AA95" s="32" t="s">
        <v>1416</v>
      </c>
      <c r="AB95" s="38"/>
      <c r="AC95" s="10"/>
      <c r="AD95" s="10"/>
      <c r="AE95" s="10"/>
      <c r="AF95" s="10"/>
      <c r="AG95" s="10"/>
      <c r="AH95" s="10"/>
      <c r="AI95" s="10"/>
      <c r="AJ95" s="10"/>
      <c r="AK95" s="10"/>
      <c r="AL95" s="10"/>
      <c r="AM95" s="10"/>
      <c r="AN95" s="10"/>
      <c r="AO95" s="10"/>
      <c r="AP95" s="10"/>
      <c r="AQ95" s="10"/>
      <c r="AR95" s="10"/>
      <c r="AS95" s="10"/>
    </row>
    <row r="96" spans="1:45" ht="22.5" customHeight="1">
      <c r="A96" s="10"/>
      <c r="B96" s="10"/>
      <c r="C96" s="10"/>
      <c r="D96" s="10"/>
      <c r="E96" s="10"/>
      <c r="F96" s="268"/>
      <c r="G96" s="34" t="s">
        <v>159</v>
      </c>
      <c r="H96" s="256"/>
      <c r="I96" s="254"/>
      <c r="J96" s="254"/>
      <c r="K96" s="254"/>
      <c r="L96" s="34" t="s">
        <v>1418</v>
      </c>
      <c r="M96" s="36"/>
      <c r="N96" s="29"/>
      <c r="O96" s="29"/>
      <c r="P96" s="29"/>
      <c r="Q96" s="10"/>
      <c r="R96" s="10"/>
      <c r="S96" s="10"/>
      <c r="T96" s="10"/>
      <c r="U96" s="10"/>
      <c r="V96" s="10"/>
      <c r="W96" s="10"/>
      <c r="X96" s="10"/>
      <c r="Y96" s="10"/>
      <c r="Z96" s="33" t="s">
        <v>119</v>
      </c>
      <c r="AA96" s="34" t="s">
        <v>1405</v>
      </c>
      <c r="AB96" s="32"/>
      <c r="AC96" s="10"/>
      <c r="AD96" s="10"/>
      <c r="AE96" s="10"/>
      <c r="AF96" s="10"/>
      <c r="AG96" s="10"/>
      <c r="AH96" s="10"/>
      <c r="AI96" s="10"/>
      <c r="AJ96" s="10"/>
      <c r="AK96" s="10"/>
      <c r="AL96" s="10"/>
      <c r="AM96" s="10"/>
      <c r="AN96" s="10"/>
      <c r="AO96" s="10"/>
      <c r="AP96" s="10"/>
      <c r="AQ96" s="10"/>
      <c r="AR96" s="10"/>
      <c r="AS96" s="10"/>
    </row>
    <row r="97" spans="1:45" ht="22.5" customHeight="1">
      <c r="A97" s="10"/>
      <c r="B97" s="10"/>
      <c r="C97" s="10"/>
      <c r="D97" s="10"/>
      <c r="E97" s="10"/>
      <c r="F97" s="268"/>
      <c r="G97" s="32" t="s">
        <v>163</v>
      </c>
      <c r="H97" s="42" t="s">
        <v>164</v>
      </c>
      <c r="I97" s="42" t="s">
        <v>1257</v>
      </c>
      <c r="J97" s="46" t="s">
        <v>1258</v>
      </c>
      <c r="K97" s="42" t="s">
        <v>1273</v>
      </c>
      <c r="L97" s="4" t="s">
        <v>1407</v>
      </c>
      <c r="M97" s="36"/>
      <c r="N97" s="29"/>
      <c r="O97" s="29"/>
      <c r="P97" s="29"/>
      <c r="Q97" s="10"/>
      <c r="R97" s="10"/>
      <c r="S97" s="10"/>
      <c r="T97" s="10"/>
      <c r="U97" s="10"/>
      <c r="V97" s="10"/>
      <c r="W97" s="10"/>
      <c r="X97" s="10"/>
      <c r="Y97" s="10"/>
      <c r="Z97" s="31" t="s">
        <v>124</v>
      </c>
      <c r="AA97" s="31" t="s">
        <v>1435</v>
      </c>
      <c r="AB97" s="27" t="s">
        <v>1406</v>
      </c>
      <c r="AC97" s="10"/>
      <c r="AD97" s="10"/>
      <c r="AE97" s="10"/>
      <c r="AF97" s="10"/>
      <c r="AG97" s="10"/>
      <c r="AH97" s="10"/>
      <c r="AI97" s="10"/>
      <c r="AJ97" s="10"/>
      <c r="AK97" s="10"/>
      <c r="AL97" s="10"/>
      <c r="AM97" s="10"/>
      <c r="AN97" s="10"/>
      <c r="AO97" s="10"/>
      <c r="AP97" s="10"/>
      <c r="AQ97" s="10"/>
      <c r="AR97" s="10"/>
      <c r="AS97" s="10"/>
    </row>
    <row r="98" spans="1:45" ht="18" customHeight="1">
      <c r="A98" s="10"/>
      <c r="B98" s="10"/>
      <c r="C98" s="10"/>
      <c r="D98" s="10"/>
      <c r="E98" s="10"/>
      <c r="F98" s="268"/>
      <c r="G98" s="27" t="s">
        <v>168</v>
      </c>
      <c r="H98" s="255" t="s">
        <v>169</v>
      </c>
      <c r="I98" s="257" t="s">
        <v>1276</v>
      </c>
      <c r="J98" s="266" t="s">
        <v>1277</v>
      </c>
      <c r="K98" s="257" t="s">
        <v>1291</v>
      </c>
      <c r="L98" s="27" t="s">
        <v>1418</v>
      </c>
      <c r="M98" s="36"/>
      <c r="N98" s="29"/>
      <c r="O98" s="29"/>
      <c r="P98" s="29"/>
      <c r="Q98" s="10"/>
      <c r="R98" s="10"/>
      <c r="S98" s="10"/>
      <c r="T98" s="10"/>
      <c r="U98" s="10"/>
      <c r="V98" s="10"/>
      <c r="W98" s="10"/>
      <c r="X98" s="10"/>
      <c r="Y98" s="10"/>
      <c r="Z98" s="33" t="s">
        <v>124</v>
      </c>
      <c r="AA98" s="33" t="s">
        <v>1405</v>
      </c>
      <c r="AB98" s="32"/>
      <c r="AC98" s="10"/>
      <c r="AD98" s="10"/>
      <c r="AE98" s="10"/>
      <c r="AF98" s="10"/>
      <c r="AG98" s="10"/>
      <c r="AH98" s="10"/>
      <c r="AI98" s="10"/>
      <c r="AJ98" s="10"/>
      <c r="AK98" s="10"/>
      <c r="AL98" s="10"/>
      <c r="AM98" s="10"/>
      <c r="AN98" s="10"/>
      <c r="AO98" s="10"/>
      <c r="AP98" s="10"/>
      <c r="AQ98" s="10"/>
      <c r="AR98" s="10"/>
      <c r="AS98" s="10"/>
    </row>
    <row r="99" spans="1:45" ht="18" customHeight="1">
      <c r="A99" s="10"/>
      <c r="B99" s="10"/>
      <c r="C99" s="10"/>
      <c r="D99" s="10"/>
      <c r="E99" s="10"/>
      <c r="F99" s="268"/>
      <c r="G99" s="32" t="s">
        <v>168</v>
      </c>
      <c r="H99" s="256"/>
      <c r="I99" s="254"/>
      <c r="J99" s="254"/>
      <c r="K99" s="254"/>
      <c r="L99" s="34" t="s">
        <v>1407</v>
      </c>
      <c r="M99" s="36"/>
      <c r="N99" s="29"/>
      <c r="O99" s="29"/>
      <c r="P99" s="29"/>
      <c r="Q99" s="10"/>
      <c r="R99" s="10"/>
      <c r="S99" s="10"/>
      <c r="T99" s="10"/>
      <c r="U99" s="10"/>
      <c r="V99" s="10"/>
      <c r="W99" s="10"/>
      <c r="X99" s="10"/>
      <c r="Y99" s="10"/>
      <c r="Z99" s="33" t="s">
        <v>124</v>
      </c>
      <c r="AA99" s="33" t="s">
        <v>692</v>
      </c>
      <c r="AB99" s="34"/>
      <c r="AC99" s="10"/>
      <c r="AD99" s="10"/>
      <c r="AE99" s="10"/>
      <c r="AF99" s="10"/>
      <c r="AG99" s="10"/>
      <c r="AH99" s="10"/>
      <c r="AI99" s="10"/>
      <c r="AJ99" s="10"/>
      <c r="AK99" s="10"/>
      <c r="AL99" s="10"/>
      <c r="AM99" s="10"/>
      <c r="AN99" s="10"/>
      <c r="AO99" s="10"/>
      <c r="AP99" s="10"/>
      <c r="AQ99" s="10"/>
      <c r="AR99" s="10"/>
      <c r="AS99" s="10"/>
    </row>
    <row r="100" spans="1:45" ht="21" customHeight="1">
      <c r="A100" s="10"/>
      <c r="B100" s="10"/>
      <c r="C100" s="10"/>
      <c r="D100" s="10"/>
      <c r="E100" s="10"/>
      <c r="F100" s="268"/>
      <c r="G100" s="27" t="s">
        <v>172</v>
      </c>
      <c r="H100" s="255" t="s">
        <v>173</v>
      </c>
      <c r="I100" s="257" t="s">
        <v>1293</v>
      </c>
      <c r="J100" s="266" t="s">
        <v>1294</v>
      </c>
      <c r="K100" s="257" t="s">
        <v>1308</v>
      </c>
      <c r="L100" s="27" t="s">
        <v>1418</v>
      </c>
      <c r="M100" s="36"/>
      <c r="N100" s="29"/>
      <c r="O100" s="29"/>
      <c r="P100" s="29"/>
      <c r="Q100" s="10"/>
      <c r="R100" s="10"/>
      <c r="S100" s="10"/>
      <c r="T100" s="10"/>
      <c r="U100" s="10"/>
      <c r="V100" s="10"/>
      <c r="W100" s="10"/>
      <c r="X100" s="10"/>
      <c r="Y100" s="10"/>
      <c r="Z100" s="31" t="s">
        <v>129</v>
      </c>
      <c r="AA100" s="27" t="s">
        <v>1411</v>
      </c>
      <c r="AB100" s="27" t="s">
        <v>1406</v>
      </c>
      <c r="AC100" s="10"/>
      <c r="AD100" s="10"/>
      <c r="AE100" s="10"/>
      <c r="AF100" s="10"/>
      <c r="AG100" s="10"/>
      <c r="AH100" s="10"/>
      <c r="AI100" s="10"/>
      <c r="AJ100" s="10"/>
      <c r="AK100" s="10"/>
      <c r="AL100" s="10"/>
      <c r="AM100" s="10"/>
      <c r="AN100" s="10"/>
      <c r="AO100" s="10"/>
      <c r="AP100" s="10"/>
      <c r="AQ100" s="10"/>
      <c r="AR100" s="10"/>
      <c r="AS100" s="10"/>
    </row>
    <row r="101" spans="1:45" ht="21" customHeight="1">
      <c r="A101" s="10"/>
      <c r="B101" s="10"/>
      <c r="C101" s="10"/>
      <c r="D101" s="10"/>
      <c r="E101" s="10"/>
      <c r="F101" s="268"/>
      <c r="G101" s="32" t="s">
        <v>172</v>
      </c>
      <c r="H101" s="256"/>
      <c r="I101" s="254"/>
      <c r="J101" s="254"/>
      <c r="K101" s="254"/>
      <c r="L101" s="34" t="s">
        <v>1407</v>
      </c>
      <c r="M101" s="36"/>
      <c r="N101" s="29"/>
      <c r="O101" s="29"/>
      <c r="P101" s="29"/>
      <c r="Q101" s="10"/>
      <c r="R101" s="10"/>
      <c r="S101" s="10"/>
      <c r="T101" s="10"/>
      <c r="U101" s="10"/>
      <c r="V101" s="10"/>
      <c r="W101" s="10"/>
      <c r="X101" s="10"/>
      <c r="Y101" s="10"/>
      <c r="Z101" s="33" t="s">
        <v>129</v>
      </c>
      <c r="AA101" s="32" t="s">
        <v>692</v>
      </c>
      <c r="AB101" s="32" t="s">
        <v>1455</v>
      </c>
      <c r="AC101" s="10"/>
      <c r="AD101" s="10"/>
      <c r="AE101" s="10"/>
      <c r="AF101" s="10"/>
      <c r="AG101" s="10"/>
      <c r="AH101" s="10"/>
      <c r="AI101" s="10"/>
      <c r="AJ101" s="10"/>
      <c r="AK101" s="10"/>
      <c r="AL101" s="10"/>
      <c r="AM101" s="10"/>
      <c r="AN101" s="10"/>
      <c r="AO101" s="10"/>
      <c r="AP101" s="10"/>
      <c r="AQ101" s="10"/>
      <c r="AR101" s="10"/>
      <c r="AS101" s="10"/>
    </row>
    <row r="102" spans="1:45" ht="17.25" customHeight="1">
      <c r="A102" s="10"/>
      <c r="B102" s="10"/>
      <c r="C102" s="10"/>
      <c r="D102" s="10"/>
      <c r="E102" s="10"/>
      <c r="F102" s="268"/>
      <c r="G102" s="27" t="s">
        <v>176</v>
      </c>
      <c r="H102" s="255" t="s">
        <v>177</v>
      </c>
      <c r="I102" s="257" t="s">
        <v>1311</v>
      </c>
      <c r="J102" s="266" t="s">
        <v>1312</v>
      </c>
      <c r="K102" s="257" t="s">
        <v>1325</v>
      </c>
      <c r="L102" s="27" t="s">
        <v>1418</v>
      </c>
      <c r="M102" s="36"/>
      <c r="N102" s="29"/>
      <c r="O102" s="29"/>
      <c r="P102" s="29"/>
      <c r="Q102" s="10"/>
      <c r="R102" s="10"/>
      <c r="S102" s="10"/>
      <c r="T102" s="10"/>
      <c r="U102" s="10"/>
      <c r="V102" s="10"/>
      <c r="W102" s="10"/>
      <c r="X102" s="10"/>
      <c r="Y102" s="10"/>
      <c r="Z102" s="33" t="s">
        <v>129</v>
      </c>
      <c r="AA102" s="32" t="s">
        <v>1461</v>
      </c>
      <c r="AB102" s="32"/>
      <c r="AC102" s="10"/>
      <c r="AD102" s="10"/>
      <c r="AE102" s="10"/>
      <c r="AF102" s="10"/>
      <c r="AG102" s="10"/>
      <c r="AH102" s="10"/>
      <c r="AI102" s="10"/>
      <c r="AJ102" s="10"/>
      <c r="AK102" s="10"/>
      <c r="AL102" s="10"/>
      <c r="AM102" s="10"/>
      <c r="AN102" s="10"/>
      <c r="AO102" s="10"/>
      <c r="AP102" s="10"/>
      <c r="AQ102" s="10"/>
      <c r="AR102" s="10"/>
      <c r="AS102" s="10"/>
    </row>
    <row r="103" spans="1:45" ht="17.25" customHeight="1">
      <c r="A103" s="10"/>
      <c r="B103" s="10"/>
      <c r="C103" s="10"/>
      <c r="D103" s="10"/>
      <c r="E103" s="10"/>
      <c r="F103" s="268"/>
      <c r="G103" s="32" t="s">
        <v>176</v>
      </c>
      <c r="H103" s="256"/>
      <c r="I103" s="254"/>
      <c r="J103" s="254"/>
      <c r="K103" s="254"/>
      <c r="L103" s="34" t="s">
        <v>1407</v>
      </c>
      <c r="M103" s="36"/>
      <c r="N103" s="29"/>
      <c r="O103" s="29"/>
      <c r="P103" s="29"/>
      <c r="Q103" s="10"/>
      <c r="R103" s="10"/>
      <c r="S103" s="10"/>
      <c r="T103" s="10"/>
      <c r="U103" s="10"/>
      <c r="V103" s="10"/>
      <c r="W103" s="10"/>
      <c r="X103" s="10"/>
      <c r="Y103" s="10"/>
      <c r="Z103" s="33" t="s">
        <v>129</v>
      </c>
      <c r="AA103" s="32" t="s">
        <v>1026</v>
      </c>
      <c r="AB103" s="34" t="s">
        <v>1462</v>
      </c>
      <c r="AC103" s="10"/>
      <c r="AD103" s="10"/>
      <c r="AE103" s="10"/>
      <c r="AF103" s="10"/>
      <c r="AG103" s="10"/>
      <c r="AH103" s="10"/>
      <c r="AI103" s="10"/>
      <c r="AJ103" s="10"/>
      <c r="AK103" s="10"/>
      <c r="AL103" s="10"/>
      <c r="AM103" s="10"/>
      <c r="AN103" s="10"/>
      <c r="AO103" s="10"/>
      <c r="AP103" s="10"/>
      <c r="AQ103" s="10"/>
      <c r="AR103" s="10"/>
      <c r="AS103" s="10"/>
    </row>
    <row r="104" spans="1:45" ht="17.25" customHeight="1">
      <c r="A104" s="10"/>
      <c r="B104" s="10"/>
      <c r="C104" s="10"/>
      <c r="D104" s="10"/>
      <c r="E104" s="10"/>
      <c r="F104" s="268"/>
      <c r="G104" s="27" t="s">
        <v>180</v>
      </c>
      <c r="H104" s="255" t="s">
        <v>181</v>
      </c>
      <c r="I104" s="257" t="s">
        <v>1328</v>
      </c>
      <c r="J104" s="266" t="s">
        <v>1329</v>
      </c>
      <c r="K104" s="257" t="s">
        <v>1348</v>
      </c>
      <c r="L104" s="27" t="s">
        <v>1418</v>
      </c>
      <c r="M104" s="36"/>
      <c r="N104" s="29"/>
      <c r="O104" s="29"/>
      <c r="P104" s="29"/>
      <c r="Q104" s="10"/>
      <c r="R104" s="10"/>
      <c r="S104" s="10"/>
      <c r="T104" s="10"/>
      <c r="U104" s="10"/>
      <c r="V104" s="10"/>
      <c r="W104" s="10"/>
      <c r="X104" s="10"/>
      <c r="Y104" s="10"/>
      <c r="Z104" s="27" t="s">
        <v>132</v>
      </c>
      <c r="AA104" s="37" t="s">
        <v>692</v>
      </c>
      <c r="AB104" s="27" t="s">
        <v>1406</v>
      </c>
      <c r="AC104" s="10"/>
      <c r="AD104" s="10"/>
      <c r="AE104" s="10"/>
      <c r="AF104" s="10"/>
      <c r="AG104" s="10"/>
      <c r="AH104" s="10"/>
      <c r="AI104" s="10"/>
      <c r="AJ104" s="10"/>
      <c r="AK104" s="10"/>
      <c r="AL104" s="10"/>
      <c r="AM104" s="10"/>
      <c r="AN104" s="10"/>
      <c r="AO104" s="10"/>
      <c r="AP104" s="10"/>
      <c r="AQ104" s="10"/>
      <c r="AR104" s="10"/>
      <c r="AS104" s="10"/>
    </row>
    <row r="105" spans="1:45" ht="21" customHeight="1">
      <c r="A105" s="10"/>
      <c r="B105" s="10"/>
      <c r="C105" s="10"/>
      <c r="D105" s="10"/>
      <c r="E105" s="10"/>
      <c r="F105" s="268"/>
      <c r="G105" s="34" t="s">
        <v>180</v>
      </c>
      <c r="H105" s="256"/>
      <c r="I105" s="254"/>
      <c r="J105" s="254"/>
      <c r="K105" s="254"/>
      <c r="L105" s="34" t="s">
        <v>1407</v>
      </c>
      <c r="M105" s="36"/>
      <c r="N105" s="29"/>
      <c r="O105" s="29"/>
      <c r="P105" s="29"/>
      <c r="Q105" s="10"/>
      <c r="R105" s="10"/>
      <c r="S105" s="10"/>
      <c r="T105" s="10"/>
      <c r="U105" s="10"/>
      <c r="V105" s="10"/>
      <c r="W105" s="10"/>
      <c r="X105" s="10"/>
      <c r="Y105" s="10"/>
      <c r="Z105" s="32" t="s">
        <v>132</v>
      </c>
      <c r="AA105" s="39" t="s">
        <v>1405</v>
      </c>
      <c r="AB105" s="34"/>
      <c r="AC105" s="10"/>
      <c r="AD105" s="10"/>
      <c r="AE105" s="10"/>
      <c r="AF105" s="10"/>
      <c r="AG105" s="10"/>
      <c r="AH105" s="10"/>
      <c r="AI105" s="10"/>
      <c r="AJ105" s="10"/>
      <c r="AK105" s="10"/>
      <c r="AL105" s="10"/>
      <c r="AM105" s="10"/>
      <c r="AN105" s="10"/>
      <c r="AO105" s="10"/>
      <c r="AP105" s="10"/>
      <c r="AQ105" s="10"/>
      <c r="AR105" s="10"/>
      <c r="AS105" s="10"/>
    </row>
    <row r="106" spans="1:45" ht="21" customHeight="1">
      <c r="A106" s="10"/>
      <c r="B106" s="10"/>
      <c r="C106" s="10"/>
      <c r="D106" s="10"/>
      <c r="E106" s="10"/>
      <c r="F106" s="268"/>
      <c r="G106" s="32" t="s">
        <v>184</v>
      </c>
      <c r="H106" s="42" t="s">
        <v>185</v>
      </c>
      <c r="I106" s="42" t="s">
        <v>1350</v>
      </c>
      <c r="J106" s="46" t="s">
        <v>1351</v>
      </c>
      <c r="K106" s="42" t="s">
        <v>1372</v>
      </c>
      <c r="L106" s="10" t="s">
        <v>1429</v>
      </c>
      <c r="M106" s="36"/>
      <c r="N106" s="29"/>
      <c r="O106" s="29"/>
      <c r="P106" s="29"/>
      <c r="Q106" s="10"/>
      <c r="R106" s="10"/>
      <c r="S106" s="10"/>
      <c r="T106" s="10"/>
      <c r="U106" s="10"/>
      <c r="V106" s="10"/>
      <c r="W106" s="10"/>
      <c r="X106" s="10"/>
      <c r="Y106" s="10"/>
      <c r="Z106" s="27" t="s">
        <v>136</v>
      </c>
      <c r="AA106" s="10" t="s">
        <v>1428</v>
      </c>
      <c r="AB106" s="27" t="s">
        <v>1412</v>
      </c>
      <c r="AC106" s="10"/>
      <c r="AD106" s="10"/>
      <c r="AE106" s="10"/>
      <c r="AF106" s="10"/>
      <c r="AG106" s="10"/>
      <c r="AH106" s="10"/>
      <c r="AI106" s="10"/>
      <c r="AJ106" s="10"/>
      <c r="AK106" s="10"/>
      <c r="AL106" s="10"/>
      <c r="AM106" s="10"/>
      <c r="AN106" s="10"/>
      <c r="AO106" s="10"/>
      <c r="AP106" s="10"/>
      <c r="AQ106" s="10"/>
      <c r="AR106" s="10"/>
      <c r="AS106" s="10"/>
    </row>
    <row r="107" spans="1:45" ht="13">
      <c r="A107" s="10"/>
      <c r="B107" s="10"/>
      <c r="C107" s="10"/>
      <c r="D107" s="10"/>
      <c r="E107" s="10"/>
      <c r="F107" s="10"/>
      <c r="G107" s="27" t="s">
        <v>188</v>
      </c>
      <c r="H107" s="255" t="s">
        <v>189</v>
      </c>
      <c r="I107" s="257" t="s">
        <v>1376</v>
      </c>
      <c r="J107" s="266" t="s">
        <v>1377</v>
      </c>
      <c r="K107" s="257" t="s">
        <v>1391</v>
      </c>
      <c r="L107" s="27" t="s">
        <v>1418</v>
      </c>
      <c r="M107" s="10"/>
      <c r="N107" s="10"/>
      <c r="O107" s="10"/>
      <c r="P107" s="10"/>
      <c r="Q107" s="10"/>
      <c r="R107" s="10"/>
      <c r="S107" s="10"/>
      <c r="T107" s="10"/>
      <c r="U107" s="10"/>
      <c r="V107" s="10"/>
      <c r="W107" s="10"/>
      <c r="X107" s="10"/>
      <c r="Y107" s="10"/>
      <c r="Z107" s="32" t="s">
        <v>136</v>
      </c>
      <c r="AA107" s="32" t="s">
        <v>1416</v>
      </c>
      <c r="AB107" s="34"/>
      <c r="AC107" s="10"/>
      <c r="AD107" s="10"/>
      <c r="AE107" s="10"/>
      <c r="AF107" s="10"/>
      <c r="AG107" s="10"/>
      <c r="AH107" s="10"/>
      <c r="AI107" s="10"/>
      <c r="AJ107" s="10"/>
      <c r="AK107" s="10"/>
      <c r="AL107" s="10"/>
      <c r="AM107" s="10"/>
      <c r="AN107" s="10"/>
      <c r="AO107" s="10"/>
      <c r="AP107" s="10"/>
      <c r="AQ107" s="10"/>
      <c r="AR107" s="10"/>
      <c r="AS107" s="10"/>
    </row>
    <row r="108" spans="1:45" ht="13">
      <c r="A108" s="10"/>
      <c r="B108" s="10"/>
      <c r="C108" s="10"/>
      <c r="D108" s="10"/>
      <c r="E108" s="10"/>
      <c r="F108" s="10"/>
      <c r="G108" s="34" t="s">
        <v>188</v>
      </c>
      <c r="H108" s="256"/>
      <c r="I108" s="254"/>
      <c r="J108" s="254"/>
      <c r="K108" s="254"/>
      <c r="L108" s="34" t="s">
        <v>1407</v>
      </c>
      <c r="M108" s="10"/>
      <c r="N108" s="10"/>
      <c r="O108" s="10"/>
      <c r="P108" s="10"/>
      <c r="Q108" s="10"/>
      <c r="R108" s="10"/>
      <c r="S108" s="10"/>
      <c r="T108" s="10"/>
      <c r="U108" s="10"/>
      <c r="V108" s="10"/>
      <c r="W108" s="10"/>
      <c r="X108" s="10"/>
      <c r="Y108" s="10"/>
      <c r="Z108" s="31" t="s">
        <v>140</v>
      </c>
      <c r="AA108" s="27" t="s">
        <v>1411</v>
      </c>
      <c r="AB108" s="27" t="s">
        <v>1437</v>
      </c>
      <c r="AC108" s="10"/>
      <c r="AD108" s="10"/>
      <c r="AE108" s="10"/>
      <c r="AF108" s="10"/>
      <c r="AG108" s="10"/>
      <c r="AH108" s="10"/>
      <c r="AI108" s="10"/>
      <c r="AJ108" s="10"/>
      <c r="AK108" s="10"/>
      <c r="AL108" s="10"/>
      <c r="AM108" s="10"/>
      <c r="AN108" s="10"/>
      <c r="AO108" s="10"/>
      <c r="AP108" s="10"/>
      <c r="AQ108" s="10"/>
      <c r="AR108" s="10"/>
      <c r="AS108" s="10"/>
    </row>
    <row r="109" spans="1:45" ht="1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33" t="s">
        <v>140</v>
      </c>
      <c r="AA109" s="32" t="s">
        <v>692</v>
      </c>
      <c r="AB109" s="32"/>
      <c r="AC109" s="10"/>
      <c r="AD109" s="10"/>
      <c r="AE109" s="10"/>
      <c r="AF109" s="10"/>
      <c r="AG109" s="10"/>
      <c r="AH109" s="10"/>
      <c r="AI109" s="10"/>
      <c r="AJ109" s="10"/>
      <c r="AK109" s="10"/>
      <c r="AL109" s="10"/>
      <c r="AM109" s="10"/>
      <c r="AN109" s="10"/>
      <c r="AO109" s="10"/>
      <c r="AP109" s="10"/>
      <c r="AQ109" s="10"/>
      <c r="AR109" s="10"/>
      <c r="AS109" s="10"/>
    </row>
    <row r="110" spans="1:45" ht="1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33" t="s">
        <v>140</v>
      </c>
      <c r="AA110" s="34" t="s">
        <v>1453</v>
      </c>
      <c r="AB110" s="32"/>
      <c r="AC110" s="10"/>
      <c r="AD110" s="10"/>
      <c r="AE110" s="10"/>
      <c r="AF110" s="10"/>
      <c r="AG110" s="10"/>
      <c r="AH110" s="10"/>
      <c r="AI110" s="10"/>
      <c r="AJ110" s="10"/>
      <c r="AK110" s="10"/>
      <c r="AL110" s="10"/>
      <c r="AM110" s="10"/>
      <c r="AN110" s="10"/>
      <c r="AO110" s="10"/>
      <c r="AP110" s="10"/>
      <c r="AQ110" s="10"/>
      <c r="AR110" s="10"/>
      <c r="AS110" s="10"/>
    </row>
    <row r="111" spans="1:45" ht="70">
      <c r="A111" s="47" t="s">
        <v>194</v>
      </c>
      <c r="B111" s="47" t="s">
        <v>215</v>
      </c>
      <c r="C111" s="47" t="s">
        <v>204</v>
      </c>
      <c r="D111" s="48" t="s">
        <v>208</v>
      </c>
      <c r="E111" s="47" t="s">
        <v>209</v>
      </c>
      <c r="F111" s="24" t="s">
        <v>232</v>
      </c>
      <c r="G111" s="10"/>
      <c r="H111" s="47" t="s">
        <v>210</v>
      </c>
      <c r="I111" s="24" t="s">
        <v>213</v>
      </c>
      <c r="J111" s="24" t="s">
        <v>1463</v>
      </c>
      <c r="K111" s="10"/>
      <c r="L111" s="47" t="s">
        <v>194</v>
      </c>
      <c r="M111" s="26" t="s">
        <v>212</v>
      </c>
      <c r="N111" s="10"/>
      <c r="O111" s="47" t="s">
        <v>194</v>
      </c>
      <c r="P111" s="49" t="s">
        <v>220</v>
      </c>
      <c r="Q111" s="10"/>
      <c r="R111" s="24" t="s">
        <v>0</v>
      </c>
      <c r="S111" s="24" t="s">
        <v>205</v>
      </c>
      <c r="T111" s="24" t="s">
        <v>1464</v>
      </c>
      <c r="U111" s="24" t="s">
        <v>1465</v>
      </c>
      <c r="V111" s="24" t="s">
        <v>216</v>
      </c>
      <c r="W111" s="10"/>
      <c r="X111" s="10"/>
      <c r="Y111" s="10"/>
      <c r="Z111" s="27" t="s">
        <v>144</v>
      </c>
      <c r="AA111" s="31" t="s">
        <v>1405</v>
      </c>
      <c r="AB111" s="27" t="s">
        <v>1406</v>
      </c>
      <c r="AC111" s="10"/>
      <c r="AD111" s="24" t="s">
        <v>0</v>
      </c>
      <c r="AE111" s="24" t="s">
        <v>1466</v>
      </c>
      <c r="AF111" s="17"/>
      <c r="AG111" s="24" t="s">
        <v>0</v>
      </c>
      <c r="AH111" s="50" t="s">
        <v>1464</v>
      </c>
      <c r="AI111" s="25"/>
      <c r="AJ111" s="24" t="s">
        <v>0</v>
      </c>
      <c r="AK111" s="51" t="s">
        <v>214</v>
      </c>
      <c r="AL111" s="10"/>
      <c r="AM111" s="24" t="s">
        <v>194</v>
      </c>
      <c r="AN111" s="24" t="s">
        <v>203</v>
      </c>
      <c r="AO111" s="24" t="s">
        <v>207</v>
      </c>
      <c r="AP111" s="52" t="s">
        <v>1467</v>
      </c>
      <c r="AQ111" s="52" t="s">
        <v>1468</v>
      </c>
      <c r="AR111" s="4" t="s">
        <v>1469</v>
      </c>
      <c r="AS111" s="10"/>
    </row>
    <row r="112" spans="1:45" ht="45">
      <c r="A112" s="4" t="s">
        <v>8</v>
      </c>
      <c r="B112" s="4" t="s">
        <v>257</v>
      </c>
      <c r="C112" s="4" t="s">
        <v>246</v>
      </c>
      <c r="D112" s="4" t="s">
        <v>250</v>
      </c>
      <c r="E112" s="4" t="s">
        <v>515</v>
      </c>
      <c r="F112" s="4" t="s">
        <v>305</v>
      </c>
      <c r="G112" s="10"/>
      <c r="H112" s="4" t="s">
        <v>252</v>
      </c>
      <c r="I112" s="4" t="s">
        <v>379</v>
      </c>
      <c r="J112" s="4" t="s">
        <v>262</v>
      </c>
      <c r="K112" s="10"/>
      <c r="L112" s="4" t="s">
        <v>8</v>
      </c>
      <c r="M112" s="4" t="s">
        <v>1470</v>
      </c>
      <c r="N112" s="10"/>
      <c r="O112" s="4" t="s">
        <v>8</v>
      </c>
      <c r="P112" s="4" t="s">
        <v>262</v>
      </c>
      <c r="Q112" s="10"/>
      <c r="R112" s="4" t="s">
        <v>8</v>
      </c>
      <c r="S112" s="53" t="s">
        <v>1471</v>
      </c>
      <c r="T112" s="4" t="s">
        <v>1472</v>
      </c>
      <c r="U112" s="53" t="s">
        <v>1473</v>
      </c>
      <c r="V112" s="53" t="s">
        <v>1474</v>
      </c>
      <c r="W112" s="10"/>
      <c r="X112" s="10"/>
      <c r="Y112" s="10"/>
      <c r="Z112" s="32" t="s">
        <v>144</v>
      </c>
      <c r="AA112" s="33" t="s">
        <v>692</v>
      </c>
      <c r="AB112" s="32" t="s">
        <v>1437</v>
      </c>
      <c r="AC112" s="10"/>
      <c r="AD112" s="4" t="s">
        <v>8</v>
      </c>
      <c r="AE112" s="53" t="s">
        <v>1473</v>
      </c>
      <c r="AF112" s="10"/>
      <c r="AG112" s="4" t="s">
        <v>8</v>
      </c>
      <c r="AH112" s="54" t="s">
        <v>1472</v>
      </c>
      <c r="AI112" s="33"/>
      <c r="AJ112" s="4" t="s">
        <v>8</v>
      </c>
      <c r="AK112" s="30" t="s">
        <v>1406</v>
      </c>
      <c r="AL112" s="10"/>
      <c r="AM112" s="24">
        <v>1</v>
      </c>
      <c r="AN112" s="55" t="s">
        <v>245</v>
      </c>
      <c r="AO112" s="53" t="s">
        <v>249</v>
      </c>
      <c r="AP112" s="53" t="s">
        <v>1475</v>
      </c>
      <c r="AQ112" s="53" t="s">
        <v>1476</v>
      </c>
      <c r="AR112" s="53" t="s">
        <v>1477</v>
      </c>
      <c r="AS112" s="8"/>
    </row>
    <row r="113" spans="1:45" ht="98">
      <c r="A113" s="4" t="s">
        <v>14</v>
      </c>
      <c r="B113" s="4" t="s">
        <v>257</v>
      </c>
      <c r="C113" s="4" t="s">
        <v>317</v>
      </c>
      <c r="D113" s="4" t="s">
        <v>250</v>
      </c>
      <c r="E113" s="4" t="s">
        <v>291</v>
      </c>
      <c r="F113" s="4" t="s">
        <v>305</v>
      </c>
      <c r="G113" s="56"/>
      <c r="H113" s="4" t="s">
        <v>321</v>
      </c>
      <c r="I113" s="4" t="s">
        <v>255</v>
      </c>
      <c r="J113" s="4" t="s">
        <v>265</v>
      </c>
      <c r="K113" s="29"/>
      <c r="L113" s="4" t="s">
        <v>8</v>
      </c>
      <c r="M113" s="4" t="s">
        <v>293</v>
      </c>
      <c r="N113" s="10"/>
      <c r="O113" s="4" t="s">
        <v>14</v>
      </c>
      <c r="P113" s="4" t="s">
        <v>1478</v>
      </c>
      <c r="Q113" s="10"/>
      <c r="R113" s="27" t="s">
        <v>14</v>
      </c>
      <c r="S113" s="53" t="s">
        <v>1479</v>
      </c>
      <c r="T113" s="4" t="s">
        <v>1472</v>
      </c>
      <c r="U113" s="53" t="s">
        <v>1473</v>
      </c>
      <c r="V113" s="53" t="s">
        <v>1480</v>
      </c>
      <c r="W113" s="10"/>
      <c r="X113" s="10"/>
      <c r="Y113" s="10"/>
      <c r="Z113" s="32" t="s">
        <v>144</v>
      </c>
      <c r="AA113" s="33" t="s">
        <v>1423</v>
      </c>
      <c r="AB113" s="32"/>
      <c r="AC113" s="10"/>
      <c r="AD113" s="57" t="s">
        <v>14</v>
      </c>
      <c r="AE113" s="55" t="s">
        <v>1473</v>
      </c>
      <c r="AF113" s="10"/>
      <c r="AG113" s="4" t="s">
        <v>14</v>
      </c>
      <c r="AH113" s="54" t="s">
        <v>1472</v>
      </c>
      <c r="AI113" s="33"/>
      <c r="AJ113" s="4" t="s">
        <v>8</v>
      </c>
      <c r="AK113" s="30" t="s">
        <v>1412</v>
      </c>
      <c r="AL113" s="10"/>
      <c r="AM113" s="24">
        <v>2</v>
      </c>
      <c r="AN113" s="53" t="s">
        <v>316</v>
      </c>
      <c r="AO113" s="53" t="s">
        <v>320</v>
      </c>
      <c r="AP113" s="53" t="s">
        <v>1475</v>
      </c>
      <c r="AQ113" s="53" t="s">
        <v>1473</v>
      </c>
      <c r="AR113" s="53" t="s">
        <v>1481</v>
      </c>
      <c r="AS113" s="8"/>
    </row>
    <row r="114" spans="1:45" ht="28">
      <c r="A114" s="4" t="s">
        <v>17</v>
      </c>
      <c r="B114" s="4" t="s">
        <v>257</v>
      </c>
      <c r="C114" s="4" t="s">
        <v>246</v>
      </c>
      <c r="D114" s="4" t="s">
        <v>375</v>
      </c>
      <c r="E114" s="4" t="s">
        <v>515</v>
      </c>
      <c r="F114" s="4" t="s">
        <v>305</v>
      </c>
      <c r="G114" s="10"/>
      <c r="H114" s="4" t="s">
        <v>252</v>
      </c>
      <c r="I114" s="4" t="s">
        <v>379</v>
      </c>
      <c r="J114" s="4" t="s">
        <v>265</v>
      </c>
      <c r="K114" s="10"/>
      <c r="L114" s="4" t="s">
        <v>14</v>
      </c>
      <c r="M114" s="4" t="s">
        <v>293</v>
      </c>
      <c r="N114" s="10"/>
      <c r="O114" s="4" t="s">
        <v>17</v>
      </c>
      <c r="P114" s="4" t="s">
        <v>1482</v>
      </c>
      <c r="Q114" s="10"/>
      <c r="R114" s="27" t="s">
        <v>17</v>
      </c>
      <c r="S114" s="27" t="s">
        <v>1483</v>
      </c>
      <c r="T114" s="27" t="s">
        <v>1484</v>
      </c>
      <c r="U114" s="58" t="s">
        <v>1476</v>
      </c>
      <c r="V114" s="58" t="s">
        <v>1485</v>
      </c>
      <c r="W114" s="10"/>
      <c r="X114" s="10"/>
      <c r="Y114" s="10"/>
      <c r="Z114" s="32" t="s">
        <v>144</v>
      </c>
      <c r="AA114" s="35"/>
      <c r="AB114" s="34"/>
      <c r="AC114" s="10"/>
      <c r="AD114" s="4" t="s">
        <v>17</v>
      </c>
      <c r="AE114" s="53" t="s">
        <v>1476</v>
      </c>
      <c r="AF114" s="10"/>
      <c r="AG114" s="4" t="s">
        <v>17</v>
      </c>
      <c r="AH114" s="54" t="s">
        <v>1486</v>
      </c>
      <c r="AI114" s="33"/>
      <c r="AJ114" s="4" t="s">
        <v>14</v>
      </c>
      <c r="AK114" s="30" t="s">
        <v>1406</v>
      </c>
      <c r="AL114" s="10"/>
      <c r="AM114" s="24">
        <v>3</v>
      </c>
      <c r="AN114" s="53" t="s">
        <v>371</v>
      </c>
      <c r="AO114" s="53" t="s">
        <v>374</v>
      </c>
      <c r="AP114" s="53" t="s">
        <v>1487</v>
      </c>
      <c r="AQ114" s="53" t="s">
        <v>1488</v>
      </c>
      <c r="AR114" s="53" t="s">
        <v>1489</v>
      </c>
      <c r="AS114" s="8"/>
    </row>
    <row r="115" spans="1:45" ht="56">
      <c r="A115" s="4" t="s">
        <v>21</v>
      </c>
      <c r="B115" s="4" t="s">
        <v>257</v>
      </c>
      <c r="C115" s="4" t="s">
        <v>246</v>
      </c>
      <c r="D115" s="4" t="s">
        <v>250</v>
      </c>
      <c r="E115" s="4" t="s">
        <v>291</v>
      </c>
      <c r="F115" s="4" t="s">
        <v>305</v>
      </c>
      <c r="G115" s="10"/>
      <c r="H115" s="4" t="s">
        <v>252</v>
      </c>
      <c r="I115" s="4" t="s">
        <v>255</v>
      </c>
      <c r="J115" s="4" t="s">
        <v>262</v>
      </c>
      <c r="K115" s="10"/>
      <c r="L115" s="4" t="s">
        <v>17</v>
      </c>
      <c r="M115" s="4" t="s">
        <v>386</v>
      </c>
      <c r="N115" s="10"/>
      <c r="O115" s="4" t="s">
        <v>21</v>
      </c>
      <c r="P115" s="4" t="s">
        <v>262</v>
      </c>
      <c r="Q115" s="10"/>
      <c r="R115" s="32" t="s">
        <v>17</v>
      </c>
      <c r="S115" s="34" t="s">
        <v>1490</v>
      </c>
      <c r="T115" s="32" t="s">
        <v>1491</v>
      </c>
      <c r="U115" s="58" t="s">
        <v>1476</v>
      </c>
      <c r="V115" s="59" t="s">
        <v>1492</v>
      </c>
      <c r="W115" s="10"/>
      <c r="X115" s="10"/>
      <c r="Y115" s="10"/>
      <c r="Z115" s="27" t="s">
        <v>147</v>
      </c>
      <c r="AA115" s="27" t="s">
        <v>1411</v>
      </c>
      <c r="AB115" s="32" t="s">
        <v>1406</v>
      </c>
      <c r="AC115" s="10"/>
      <c r="AD115" s="4" t="s">
        <v>21</v>
      </c>
      <c r="AE115" s="53" t="s">
        <v>1493</v>
      </c>
      <c r="AF115" s="10"/>
      <c r="AG115" s="4" t="s">
        <v>21</v>
      </c>
      <c r="AH115" s="54" t="s">
        <v>1486</v>
      </c>
      <c r="AI115" s="33"/>
      <c r="AJ115" s="4" t="s">
        <v>17</v>
      </c>
      <c r="AK115" s="30" t="s">
        <v>1406</v>
      </c>
      <c r="AL115" s="10"/>
      <c r="AM115" s="24">
        <v>4</v>
      </c>
      <c r="AN115" s="53" t="s">
        <v>422</v>
      </c>
      <c r="AO115" s="53" t="s">
        <v>425</v>
      </c>
      <c r="AP115" s="53" t="s">
        <v>1494</v>
      </c>
      <c r="AQ115" s="53" t="s">
        <v>1493</v>
      </c>
      <c r="AR115" s="53" t="s">
        <v>21</v>
      </c>
      <c r="AS115" s="8"/>
    </row>
    <row r="116" spans="1:45" ht="56">
      <c r="A116" s="4" t="s">
        <v>26</v>
      </c>
      <c r="B116" s="4" t="s">
        <v>257</v>
      </c>
      <c r="C116" s="4" t="s">
        <v>317</v>
      </c>
      <c r="D116" s="4" t="s">
        <v>290</v>
      </c>
      <c r="E116" s="4" t="s">
        <v>291</v>
      </c>
      <c r="F116" s="4" t="s">
        <v>305</v>
      </c>
      <c r="G116" s="10"/>
      <c r="H116" s="4" t="s">
        <v>321</v>
      </c>
      <c r="I116" s="4" t="s">
        <v>255</v>
      </c>
      <c r="J116" s="4" t="s">
        <v>262</v>
      </c>
      <c r="K116" s="10"/>
      <c r="L116" s="4" t="s">
        <v>21</v>
      </c>
      <c r="M116" s="4" t="s">
        <v>427</v>
      </c>
      <c r="N116" s="10"/>
      <c r="O116" s="4" t="s">
        <v>26</v>
      </c>
      <c r="P116" s="4" t="s">
        <v>262</v>
      </c>
      <c r="Q116" s="10"/>
      <c r="R116" s="27" t="s">
        <v>21</v>
      </c>
      <c r="S116" s="40" t="s">
        <v>1495</v>
      </c>
      <c r="T116" s="27" t="s">
        <v>1496</v>
      </c>
      <c r="U116" s="58" t="s">
        <v>1493</v>
      </c>
      <c r="V116" s="58" t="s">
        <v>1497</v>
      </c>
      <c r="W116" s="10"/>
      <c r="X116" s="10"/>
      <c r="Y116" s="10"/>
      <c r="Z116" s="32" t="s">
        <v>147</v>
      </c>
      <c r="AA116" s="32" t="s">
        <v>1405</v>
      </c>
      <c r="AB116" s="32" t="s">
        <v>1462</v>
      </c>
      <c r="AC116" s="10"/>
      <c r="AD116" s="4" t="s">
        <v>21</v>
      </c>
      <c r="AE116" s="53" t="s">
        <v>1473</v>
      </c>
      <c r="AF116" s="10"/>
      <c r="AG116" s="4" t="s">
        <v>26</v>
      </c>
      <c r="AH116" s="54" t="s">
        <v>1498</v>
      </c>
      <c r="AI116" s="33"/>
      <c r="AJ116" s="4" t="s">
        <v>17</v>
      </c>
      <c r="AK116" s="34" t="s">
        <v>1424</v>
      </c>
      <c r="AL116" s="10"/>
      <c r="AM116" s="24">
        <v>5</v>
      </c>
      <c r="AN116" s="53" t="s">
        <v>447</v>
      </c>
      <c r="AO116" s="53" t="s">
        <v>450</v>
      </c>
      <c r="AP116" s="53" t="s">
        <v>1475</v>
      </c>
      <c r="AQ116" s="53" t="s">
        <v>1499</v>
      </c>
      <c r="AR116" s="53" t="s">
        <v>84</v>
      </c>
      <c r="AS116" s="8"/>
    </row>
    <row r="117" spans="1:45" ht="56">
      <c r="A117" s="4" t="s">
        <v>29</v>
      </c>
      <c r="B117" s="4" t="s">
        <v>257</v>
      </c>
      <c r="C117" s="4" t="s">
        <v>317</v>
      </c>
      <c r="D117" s="4" t="s">
        <v>290</v>
      </c>
      <c r="E117" s="4" t="s">
        <v>494</v>
      </c>
      <c r="F117" s="4" t="s">
        <v>305</v>
      </c>
      <c r="G117" s="10"/>
      <c r="H117" s="4" t="s">
        <v>321</v>
      </c>
      <c r="I117" s="4" t="s">
        <v>379</v>
      </c>
      <c r="J117" s="4" t="s">
        <v>262</v>
      </c>
      <c r="K117" s="10"/>
      <c r="L117" s="4" t="s">
        <v>26</v>
      </c>
      <c r="M117" s="4" t="s">
        <v>452</v>
      </c>
      <c r="N117" s="10"/>
      <c r="O117" s="4" t="s">
        <v>29</v>
      </c>
      <c r="P117" s="4" t="s">
        <v>262</v>
      </c>
      <c r="Q117" s="10"/>
      <c r="R117" s="34" t="s">
        <v>21</v>
      </c>
      <c r="S117" s="41" t="s">
        <v>1500</v>
      </c>
      <c r="T117" s="34" t="s">
        <v>1501</v>
      </c>
      <c r="U117" s="59" t="s">
        <v>1473</v>
      </c>
      <c r="V117" s="59"/>
      <c r="W117" s="10"/>
      <c r="X117" s="10"/>
      <c r="Y117" s="10"/>
      <c r="Z117" s="32" t="s">
        <v>147</v>
      </c>
      <c r="AA117" s="34" t="s">
        <v>1423</v>
      </c>
      <c r="AB117" s="34"/>
      <c r="AC117" s="10"/>
      <c r="AD117" s="4" t="s">
        <v>26</v>
      </c>
      <c r="AE117" s="53" t="s">
        <v>1473</v>
      </c>
      <c r="AF117" s="10"/>
      <c r="AG117" s="4" t="s">
        <v>29</v>
      </c>
      <c r="AH117" s="54" t="s">
        <v>1472</v>
      </c>
      <c r="AI117" s="33"/>
      <c r="AJ117" s="4" t="s">
        <v>21</v>
      </c>
      <c r="AK117" s="30" t="s">
        <v>1412</v>
      </c>
      <c r="AL117" s="10"/>
      <c r="AM117" s="24">
        <v>6</v>
      </c>
      <c r="AN117" s="53" t="s">
        <v>490</v>
      </c>
      <c r="AO117" s="53" t="s">
        <v>493</v>
      </c>
      <c r="AP117" s="53" t="s">
        <v>1475</v>
      </c>
      <c r="AQ117" s="53" t="s">
        <v>1502</v>
      </c>
      <c r="AR117" s="53" t="s">
        <v>1503</v>
      </c>
      <c r="AS117" s="8"/>
    </row>
    <row r="118" spans="1:45" ht="28">
      <c r="A118" s="4" t="s">
        <v>32</v>
      </c>
      <c r="B118" s="4" t="s">
        <v>257</v>
      </c>
      <c r="C118" s="4" t="s">
        <v>317</v>
      </c>
      <c r="D118" s="4" t="s">
        <v>290</v>
      </c>
      <c r="E118" s="4" t="s">
        <v>291</v>
      </c>
      <c r="F118" s="4" t="s">
        <v>305</v>
      </c>
      <c r="G118" s="10"/>
      <c r="H118" s="4" t="s">
        <v>321</v>
      </c>
      <c r="I118" s="4" t="s">
        <v>255</v>
      </c>
      <c r="J118" s="4" t="s">
        <v>262</v>
      </c>
      <c r="K118" s="10"/>
      <c r="L118" s="4" t="s">
        <v>29</v>
      </c>
      <c r="M118" s="4" t="s">
        <v>496</v>
      </c>
      <c r="N118" s="10"/>
      <c r="O118" s="4" t="s">
        <v>32</v>
      </c>
      <c r="P118" s="4" t="s">
        <v>1478</v>
      </c>
      <c r="Q118" s="10"/>
      <c r="R118" s="34" t="s">
        <v>26</v>
      </c>
      <c r="S118" s="4" t="s">
        <v>448</v>
      </c>
      <c r="T118" s="4" t="s">
        <v>1504</v>
      </c>
      <c r="U118" s="53" t="s">
        <v>1473</v>
      </c>
      <c r="V118" s="53" t="s">
        <v>1505</v>
      </c>
      <c r="W118" s="10"/>
      <c r="X118" s="10"/>
      <c r="Y118" s="10"/>
      <c r="Z118" s="27" t="s">
        <v>151</v>
      </c>
      <c r="AA118" s="27" t="s">
        <v>1411</v>
      </c>
      <c r="AB118" s="27" t="s">
        <v>1406</v>
      </c>
      <c r="AC118" s="10"/>
      <c r="AD118" s="4" t="s">
        <v>29</v>
      </c>
      <c r="AE118" s="53" t="s">
        <v>1506</v>
      </c>
      <c r="AF118" s="10"/>
      <c r="AG118" s="4" t="s">
        <v>32</v>
      </c>
      <c r="AH118" s="54" t="s">
        <v>1472</v>
      </c>
      <c r="AI118" s="33"/>
      <c r="AJ118" s="4" t="s">
        <v>21</v>
      </c>
      <c r="AK118" s="30" t="s">
        <v>1427</v>
      </c>
      <c r="AL118" s="10"/>
      <c r="AM118" s="24">
        <v>7</v>
      </c>
      <c r="AN118" s="53" t="s">
        <v>535</v>
      </c>
      <c r="AO118" s="53" t="s">
        <v>538</v>
      </c>
      <c r="AP118" s="53" t="s">
        <v>1475</v>
      </c>
      <c r="AQ118" s="53" t="s">
        <v>1507</v>
      </c>
      <c r="AR118" s="53" t="s">
        <v>1508</v>
      </c>
      <c r="AS118" s="8"/>
    </row>
    <row r="119" spans="1:45" ht="28">
      <c r="A119" s="4" t="s">
        <v>36</v>
      </c>
      <c r="B119" s="4" t="s">
        <v>257</v>
      </c>
      <c r="C119" s="4" t="s">
        <v>317</v>
      </c>
      <c r="D119" s="4" t="s">
        <v>290</v>
      </c>
      <c r="E119" s="4" t="s">
        <v>291</v>
      </c>
      <c r="F119" s="4" t="s">
        <v>305</v>
      </c>
      <c r="G119" s="10"/>
      <c r="H119" s="4" t="s">
        <v>321</v>
      </c>
      <c r="I119" s="4" t="s">
        <v>255</v>
      </c>
      <c r="J119" s="4" t="s">
        <v>262</v>
      </c>
      <c r="K119" s="10"/>
      <c r="L119" s="4" t="s">
        <v>32</v>
      </c>
      <c r="M119" s="4" t="s">
        <v>1509</v>
      </c>
      <c r="N119" s="10"/>
      <c r="O119" s="4" t="s">
        <v>36</v>
      </c>
      <c r="P119" s="4" t="s">
        <v>262</v>
      </c>
      <c r="Q119" s="10"/>
      <c r="R119" s="4" t="s">
        <v>29</v>
      </c>
      <c r="S119" s="4" t="s">
        <v>1510</v>
      </c>
      <c r="T119" s="4" t="s">
        <v>1472</v>
      </c>
      <c r="U119" s="53" t="s">
        <v>1506</v>
      </c>
      <c r="V119" s="53" t="s">
        <v>1511</v>
      </c>
      <c r="W119" s="10"/>
      <c r="X119" s="10"/>
      <c r="Y119" s="10"/>
      <c r="Z119" s="32" t="s">
        <v>151</v>
      </c>
      <c r="AA119" s="32" t="s">
        <v>1405</v>
      </c>
      <c r="AB119" s="32" t="s">
        <v>1424</v>
      </c>
      <c r="AC119" s="10"/>
      <c r="AD119" s="4" t="s">
        <v>32</v>
      </c>
      <c r="AE119" s="53" t="s">
        <v>1473</v>
      </c>
      <c r="AF119" s="10"/>
      <c r="AG119" s="4" t="s">
        <v>36</v>
      </c>
      <c r="AH119" s="54" t="s">
        <v>1472</v>
      </c>
      <c r="AI119" s="33"/>
      <c r="AJ119" s="4" t="s">
        <v>26</v>
      </c>
      <c r="AK119" s="30" t="s">
        <v>1406</v>
      </c>
      <c r="AL119" s="10"/>
      <c r="AM119" s="24">
        <v>8</v>
      </c>
      <c r="AN119" s="53" t="s">
        <v>559</v>
      </c>
      <c r="AO119" s="53" t="s">
        <v>562</v>
      </c>
      <c r="AP119" s="53" t="s">
        <v>1475</v>
      </c>
      <c r="AQ119" s="53" t="s">
        <v>847</v>
      </c>
      <c r="AR119" s="53" t="s">
        <v>87</v>
      </c>
      <c r="AS119" s="8"/>
    </row>
    <row r="120" spans="1:45" ht="56">
      <c r="A120" s="4" t="s">
        <v>39</v>
      </c>
      <c r="B120" s="4" t="s">
        <v>257</v>
      </c>
      <c r="C120" s="4" t="s">
        <v>317</v>
      </c>
      <c r="D120" s="4" t="s">
        <v>290</v>
      </c>
      <c r="E120" s="4" t="s">
        <v>291</v>
      </c>
      <c r="F120" s="4" t="s">
        <v>265</v>
      </c>
      <c r="G120" s="10"/>
      <c r="H120" s="4" t="s">
        <v>252</v>
      </c>
      <c r="I120" s="4" t="s">
        <v>255</v>
      </c>
      <c r="J120" s="4" t="s">
        <v>262</v>
      </c>
      <c r="K120" s="10"/>
      <c r="L120" s="4" t="s">
        <v>32</v>
      </c>
      <c r="M120" s="4" t="s">
        <v>427</v>
      </c>
      <c r="N120" s="10"/>
      <c r="O120" s="4" t="s">
        <v>39</v>
      </c>
      <c r="P120" s="4" t="s">
        <v>262</v>
      </c>
      <c r="Q120" s="10"/>
      <c r="R120" s="27" t="s">
        <v>32</v>
      </c>
      <c r="S120" s="27" t="s">
        <v>1512</v>
      </c>
      <c r="T120" s="27" t="s">
        <v>1472</v>
      </c>
      <c r="U120" s="8" t="s">
        <v>1473</v>
      </c>
      <c r="V120" s="58" t="s">
        <v>542</v>
      </c>
      <c r="W120" s="10"/>
      <c r="X120" s="10"/>
      <c r="Y120" s="10"/>
      <c r="Z120" s="32" t="s">
        <v>151</v>
      </c>
      <c r="AA120" s="32" t="s">
        <v>1026</v>
      </c>
      <c r="AB120" s="32"/>
      <c r="AC120" s="10"/>
      <c r="AD120" s="4" t="s">
        <v>36</v>
      </c>
      <c r="AE120" s="53" t="s">
        <v>1473</v>
      </c>
      <c r="AF120" s="10"/>
      <c r="AG120" s="4" t="s">
        <v>39</v>
      </c>
      <c r="AH120" s="60" t="s">
        <v>1486</v>
      </c>
      <c r="AI120" s="44"/>
      <c r="AJ120" s="4" t="s">
        <v>29</v>
      </c>
      <c r="AK120" s="30" t="s">
        <v>1412</v>
      </c>
      <c r="AL120" s="10"/>
      <c r="AM120" s="24">
        <v>9</v>
      </c>
      <c r="AN120" s="53" t="s">
        <v>602</v>
      </c>
      <c r="AO120" s="53" t="s">
        <v>605</v>
      </c>
      <c r="AP120" s="53" t="s">
        <v>1513</v>
      </c>
      <c r="AQ120" s="53" t="s">
        <v>1514</v>
      </c>
      <c r="AR120" s="53" t="s">
        <v>144</v>
      </c>
      <c r="AS120" s="8"/>
    </row>
    <row r="121" spans="1:45" ht="70.5" customHeight="1">
      <c r="A121" s="4" t="s">
        <v>43</v>
      </c>
      <c r="B121" s="4" t="s">
        <v>257</v>
      </c>
      <c r="C121" s="4" t="s">
        <v>317</v>
      </c>
      <c r="D121" s="4" t="s">
        <v>290</v>
      </c>
      <c r="E121" s="4" t="s">
        <v>494</v>
      </c>
      <c r="F121" s="4" t="s">
        <v>305</v>
      </c>
      <c r="G121" s="10"/>
      <c r="H121" s="4" t="s">
        <v>321</v>
      </c>
      <c r="I121" s="4" t="s">
        <v>255</v>
      </c>
      <c r="J121" s="4" t="s">
        <v>265</v>
      </c>
      <c r="K121" s="10"/>
      <c r="L121" s="4" t="s">
        <v>36</v>
      </c>
      <c r="M121" s="4" t="s">
        <v>452</v>
      </c>
      <c r="N121" s="10"/>
      <c r="O121" s="4" t="s">
        <v>43</v>
      </c>
      <c r="P121" s="4" t="s">
        <v>1478</v>
      </c>
      <c r="Q121" s="10"/>
      <c r="R121" s="4" t="s">
        <v>36</v>
      </c>
      <c r="S121" s="4" t="s">
        <v>448</v>
      </c>
      <c r="T121" s="4" t="s">
        <v>1472</v>
      </c>
      <c r="U121" s="53" t="s">
        <v>1515</v>
      </c>
      <c r="V121" s="4" t="s">
        <v>1516</v>
      </c>
      <c r="W121" s="10"/>
      <c r="X121" s="10"/>
      <c r="Y121" s="10"/>
      <c r="Z121" s="32" t="s">
        <v>151</v>
      </c>
      <c r="AA121" s="34" t="s">
        <v>692</v>
      </c>
      <c r="AB121" s="32"/>
      <c r="AC121" s="10"/>
      <c r="AD121" s="4" t="s">
        <v>36</v>
      </c>
      <c r="AE121" s="61" t="s">
        <v>1502</v>
      </c>
      <c r="AF121" s="10"/>
      <c r="AG121" s="4" t="s">
        <v>43</v>
      </c>
      <c r="AH121" s="54" t="s">
        <v>1472</v>
      </c>
      <c r="AI121" s="33"/>
      <c r="AJ121" s="4" t="s">
        <v>29</v>
      </c>
      <c r="AK121" s="30" t="s">
        <v>1424</v>
      </c>
      <c r="AL121" s="10"/>
      <c r="AM121" s="24">
        <v>10</v>
      </c>
      <c r="AN121" s="53" t="s">
        <v>622</v>
      </c>
      <c r="AO121" s="53" t="s">
        <v>625</v>
      </c>
      <c r="AP121" s="53" t="s">
        <v>1475</v>
      </c>
      <c r="AQ121" s="8"/>
      <c r="AR121" s="8"/>
      <c r="AS121" s="8"/>
    </row>
    <row r="122" spans="1:45" ht="48" customHeight="1">
      <c r="A122" s="4" t="s">
        <v>49</v>
      </c>
      <c r="B122" s="4" t="s">
        <v>257</v>
      </c>
      <c r="C122" s="4" t="s">
        <v>317</v>
      </c>
      <c r="D122" s="4" t="s">
        <v>514</v>
      </c>
      <c r="E122" s="4" t="s">
        <v>515</v>
      </c>
      <c r="F122" s="4" t="s">
        <v>305</v>
      </c>
      <c r="G122" s="10"/>
      <c r="H122" s="4" t="s">
        <v>321</v>
      </c>
      <c r="I122" s="4" t="s">
        <v>379</v>
      </c>
      <c r="J122" s="4" t="s">
        <v>262</v>
      </c>
      <c r="K122" s="10"/>
      <c r="L122" s="4" t="s">
        <v>36</v>
      </c>
      <c r="M122" s="4" t="s">
        <v>293</v>
      </c>
      <c r="N122" s="10"/>
      <c r="O122" s="4" t="s">
        <v>43</v>
      </c>
      <c r="P122" s="4" t="s">
        <v>1517</v>
      </c>
      <c r="Q122" s="10"/>
      <c r="R122" s="33" t="s">
        <v>39</v>
      </c>
      <c r="S122" s="27" t="s">
        <v>1518</v>
      </c>
      <c r="T122" s="11" t="s">
        <v>1519</v>
      </c>
      <c r="U122" s="62" t="s">
        <v>1473</v>
      </c>
      <c r="V122" s="62" t="s">
        <v>542</v>
      </c>
      <c r="W122" s="10"/>
      <c r="X122" s="10"/>
      <c r="Y122" s="10"/>
      <c r="Z122" s="27" t="s">
        <v>155</v>
      </c>
      <c r="AA122" s="31" t="s">
        <v>1411</v>
      </c>
      <c r="AB122" s="27" t="s">
        <v>1452</v>
      </c>
      <c r="AC122" s="10"/>
      <c r="AD122" s="4" t="s">
        <v>39</v>
      </c>
      <c r="AE122" s="53" t="s">
        <v>1473</v>
      </c>
      <c r="AF122" s="10"/>
      <c r="AG122" s="4" t="s">
        <v>49</v>
      </c>
      <c r="AH122" s="54" t="s">
        <v>1472</v>
      </c>
      <c r="AI122" s="33"/>
      <c r="AJ122" s="4" t="s">
        <v>32</v>
      </c>
      <c r="AK122" s="30" t="s">
        <v>1412</v>
      </c>
      <c r="AL122" s="10"/>
      <c r="AM122" s="24">
        <v>11</v>
      </c>
      <c r="AN122" s="53" t="s">
        <v>647</v>
      </c>
      <c r="AO122" s="55" t="s">
        <v>649</v>
      </c>
      <c r="AP122" s="53" t="s">
        <v>1475</v>
      </c>
      <c r="AQ122" s="8"/>
      <c r="AR122" s="8"/>
      <c r="AS122" s="8"/>
    </row>
    <row r="123" spans="1:45" ht="31.5" customHeight="1">
      <c r="A123" s="4" t="s">
        <v>53</v>
      </c>
      <c r="B123" s="4" t="s">
        <v>257</v>
      </c>
      <c r="C123" s="4" t="s">
        <v>317</v>
      </c>
      <c r="D123" s="4" t="s">
        <v>290</v>
      </c>
      <c r="E123" s="4" t="s">
        <v>291</v>
      </c>
      <c r="F123" s="4" t="s">
        <v>305</v>
      </c>
      <c r="G123" s="10"/>
      <c r="H123" s="4" t="s">
        <v>321</v>
      </c>
      <c r="I123" s="4" t="s">
        <v>255</v>
      </c>
      <c r="J123" s="4" t="s">
        <v>262</v>
      </c>
      <c r="K123" s="10"/>
      <c r="L123" s="4" t="s">
        <v>39</v>
      </c>
      <c r="M123" s="4" t="s">
        <v>1520</v>
      </c>
      <c r="N123" s="10"/>
      <c r="O123" s="4" t="s">
        <v>49</v>
      </c>
      <c r="P123" s="4" t="s">
        <v>262</v>
      </c>
      <c r="Q123" s="10"/>
      <c r="R123" s="33" t="s">
        <v>39</v>
      </c>
      <c r="S123" s="32" t="s">
        <v>1521</v>
      </c>
      <c r="T123" s="38" t="s">
        <v>1501</v>
      </c>
      <c r="U123" s="62" t="s">
        <v>1473</v>
      </c>
      <c r="V123" s="62"/>
      <c r="W123" s="10"/>
      <c r="X123" s="10"/>
      <c r="Y123" s="10"/>
      <c r="Z123" s="32" t="s">
        <v>155</v>
      </c>
      <c r="AA123" s="33" t="s">
        <v>1405</v>
      </c>
      <c r="AB123" s="32" t="s">
        <v>1406</v>
      </c>
      <c r="AC123" s="10"/>
      <c r="AD123" s="4" t="s">
        <v>43</v>
      </c>
      <c r="AE123" s="53" t="s">
        <v>1502</v>
      </c>
      <c r="AF123" s="10"/>
      <c r="AG123" s="4" t="s">
        <v>53</v>
      </c>
      <c r="AH123" s="54" t="s">
        <v>1472</v>
      </c>
      <c r="AI123" s="33"/>
      <c r="AJ123" s="4" t="s">
        <v>32</v>
      </c>
      <c r="AK123" s="30" t="s">
        <v>1406</v>
      </c>
      <c r="AL123" s="10"/>
      <c r="AM123" s="24">
        <v>12</v>
      </c>
      <c r="AN123" s="53" t="s">
        <v>665</v>
      </c>
      <c r="AO123" s="53" t="s">
        <v>667</v>
      </c>
      <c r="AP123" s="55" t="s">
        <v>1475</v>
      </c>
      <c r="AQ123" s="8"/>
      <c r="AR123" s="8"/>
      <c r="AS123" s="8"/>
    </row>
    <row r="124" spans="1:45" ht="51" customHeight="1">
      <c r="A124" s="4" t="s">
        <v>56</v>
      </c>
      <c r="B124" s="4" t="s">
        <v>257</v>
      </c>
      <c r="C124" s="4" t="s">
        <v>246</v>
      </c>
      <c r="D124" s="4" t="s">
        <v>290</v>
      </c>
      <c r="E124" s="4" t="s">
        <v>291</v>
      </c>
      <c r="F124" s="4" t="s">
        <v>265</v>
      </c>
      <c r="G124" s="10"/>
      <c r="H124" s="4" t="s">
        <v>321</v>
      </c>
      <c r="I124" s="4" t="s">
        <v>255</v>
      </c>
      <c r="J124" s="4" t="s">
        <v>262</v>
      </c>
      <c r="K124" s="10"/>
      <c r="L124" s="4" t="s">
        <v>39</v>
      </c>
      <c r="M124" s="4" t="s">
        <v>293</v>
      </c>
      <c r="N124" s="10"/>
      <c r="O124" s="4" t="s">
        <v>53</v>
      </c>
      <c r="P124" s="4" t="s">
        <v>262</v>
      </c>
      <c r="Q124" s="10"/>
      <c r="R124" s="35" t="s">
        <v>39</v>
      </c>
      <c r="S124" s="34" t="s">
        <v>1522</v>
      </c>
      <c r="T124" s="39" t="s">
        <v>1501</v>
      </c>
      <c r="U124" s="62" t="s">
        <v>1473</v>
      </c>
      <c r="V124" s="59"/>
      <c r="W124" s="10"/>
      <c r="X124" s="10"/>
      <c r="Y124" s="10"/>
      <c r="Z124" s="32" t="s">
        <v>155</v>
      </c>
      <c r="AA124" s="33" t="s">
        <v>692</v>
      </c>
      <c r="AB124" s="34"/>
      <c r="AC124" s="10"/>
      <c r="AD124" s="4" t="s">
        <v>49</v>
      </c>
      <c r="AE124" s="53" t="s">
        <v>1507</v>
      </c>
      <c r="AF124" s="10"/>
      <c r="AG124" s="4" t="s">
        <v>56</v>
      </c>
      <c r="AH124" s="54" t="s">
        <v>1472</v>
      </c>
      <c r="AI124" s="33"/>
      <c r="AJ124" s="4" t="s">
        <v>36</v>
      </c>
      <c r="AK124" s="30" t="s">
        <v>1406</v>
      </c>
      <c r="AL124" s="10"/>
      <c r="AM124" s="24">
        <v>13</v>
      </c>
      <c r="AN124" s="53" t="s">
        <v>688</v>
      </c>
      <c r="AO124" s="53" t="s">
        <v>691</v>
      </c>
      <c r="AP124" s="55" t="s">
        <v>1475</v>
      </c>
      <c r="AQ124" s="8"/>
      <c r="AR124" s="8"/>
      <c r="AS124" s="8"/>
    </row>
    <row r="125" spans="1:45" ht="18.75" customHeight="1">
      <c r="A125" s="4" t="s">
        <v>60</v>
      </c>
      <c r="B125" s="4" t="s">
        <v>257</v>
      </c>
      <c r="C125" s="4" t="s">
        <v>246</v>
      </c>
      <c r="D125" s="4" t="s">
        <v>290</v>
      </c>
      <c r="E125" s="4" t="s">
        <v>515</v>
      </c>
      <c r="F125" s="4" t="s">
        <v>262</v>
      </c>
      <c r="G125" s="10"/>
      <c r="H125" s="4" t="s">
        <v>321</v>
      </c>
      <c r="I125" s="4" t="s">
        <v>379</v>
      </c>
      <c r="J125" s="4" t="s">
        <v>262</v>
      </c>
      <c r="K125" s="10"/>
      <c r="L125" s="4" t="s">
        <v>43</v>
      </c>
      <c r="M125" s="4" t="s">
        <v>627</v>
      </c>
      <c r="N125" s="10"/>
      <c r="O125" s="4" t="s">
        <v>56</v>
      </c>
      <c r="P125" s="4" t="s">
        <v>262</v>
      </c>
      <c r="Q125" s="10"/>
      <c r="R125" s="4" t="s">
        <v>43</v>
      </c>
      <c r="S125" s="34" t="s">
        <v>1523</v>
      </c>
      <c r="T125" s="4" t="s">
        <v>1472</v>
      </c>
      <c r="U125" s="53" t="s">
        <v>1502</v>
      </c>
      <c r="V125" s="53" t="s">
        <v>1524</v>
      </c>
      <c r="W125" s="10"/>
      <c r="X125" s="10"/>
      <c r="Y125" s="10"/>
      <c r="Z125" s="31" t="s">
        <v>159</v>
      </c>
      <c r="AA125" s="31" t="s">
        <v>1405</v>
      </c>
      <c r="AB125" s="32" t="s">
        <v>1462</v>
      </c>
      <c r="AC125" s="10"/>
      <c r="AD125" s="4" t="s">
        <v>49</v>
      </c>
      <c r="AE125" s="61" t="s">
        <v>1473</v>
      </c>
      <c r="AF125" s="10"/>
      <c r="AG125" s="4" t="s">
        <v>60</v>
      </c>
      <c r="AH125" s="54" t="s">
        <v>1472</v>
      </c>
      <c r="AI125" s="33"/>
      <c r="AJ125" s="4" t="s">
        <v>36</v>
      </c>
      <c r="AK125" s="30" t="s">
        <v>1427</v>
      </c>
      <c r="AL125" s="10"/>
      <c r="AM125" s="24">
        <v>14</v>
      </c>
      <c r="AN125" s="53" t="s">
        <v>707</v>
      </c>
      <c r="AO125" s="53" t="s">
        <v>710</v>
      </c>
      <c r="AP125" s="53" t="s">
        <v>1475</v>
      </c>
      <c r="AQ125" s="8"/>
      <c r="AR125" s="8"/>
      <c r="AS125" s="8"/>
    </row>
    <row r="126" spans="1:45" ht="15" customHeight="1">
      <c r="A126" s="4" t="s">
        <v>65</v>
      </c>
      <c r="B126" s="4" t="s">
        <v>257</v>
      </c>
      <c r="C126" s="4" t="s">
        <v>246</v>
      </c>
      <c r="D126" s="4" t="s">
        <v>290</v>
      </c>
      <c r="E126" s="4" t="s">
        <v>378</v>
      </c>
      <c r="F126" s="4" t="s">
        <v>305</v>
      </c>
      <c r="G126" s="10"/>
      <c r="H126" s="4" t="s">
        <v>321</v>
      </c>
      <c r="I126" s="4" t="s">
        <v>255</v>
      </c>
      <c r="J126" s="4" t="s">
        <v>262</v>
      </c>
      <c r="K126" s="10"/>
      <c r="L126" s="4" t="s">
        <v>49</v>
      </c>
      <c r="M126" s="4" t="s">
        <v>452</v>
      </c>
      <c r="N126" s="10"/>
      <c r="O126" s="4" t="s">
        <v>60</v>
      </c>
      <c r="P126" s="4" t="s">
        <v>262</v>
      </c>
      <c r="Q126" s="10"/>
      <c r="R126" s="4" t="s">
        <v>49</v>
      </c>
      <c r="S126" s="4" t="s">
        <v>448</v>
      </c>
      <c r="T126" s="4" t="s">
        <v>1472</v>
      </c>
      <c r="U126" s="8" t="s">
        <v>1525</v>
      </c>
      <c r="V126" s="53" t="s">
        <v>1526</v>
      </c>
      <c r="W126" s="10"/>
      <c r="X126" s="10"/>
      <c r="Y126" s="10"/>
      <c r="Z126" s="33" t="s">
        <v>159</v>
      </c>
      <c r="AA126" s="33" t="s">
        <v>692</v>
      </c>
      <c r="AB126" s="32" t="s">
        <v>1406</v>
      </c>
      <c r="AC126" s="10"/>
      <c r="AD126" s="4" t="s">
        <v>53</v>
      </c>
      <c r="AE126" s="53" t="s">
        <v>1473</v>
      </c>
      <c r="AF126" s="10"/>
      <c r="AG126" s="4" t="s">
        <v>65</v>
      </c>
      <c r="AH126" s="54" t="s">
        <v>1472</v>
      </c>
      <c r="AI126" s="33"/>
      <c r="AJ126" s="4" t="s">
        <v>39</v>
      </c>
      <c r="AK126" s="30" t="s">
        <v>1412</v>
      </c>
      <c r="AL126" s="10"/>
      <c r="AM126" s="24">
        <v>15</v>
      </c>
      <c r="AN126" s="53" t="s">
        <v>727</v>
      </c>
      <c r="AO126" s="53" t="s">
        <v>730</v>
      </c>
      <c r="AP126" s="53" t="s">
        <v>1475</v>
      </c>
      <c r="AQ126" s="8"/>
      <c r="AR126" s="8"/>
      <c r="AS126" s="8"/>
    </row>
    <row r="127" spans="1:45" ht="20.25" customHeight="1">
      <c r="A127" s="4" t="s">
        <v>69</v>
      </c>
      <c r="B127" s="4" t="s">
        <v>257</v>
      </c>
      <c r="C127" s="4" t="s">
        <v>246</v>
      </c>
      <c r="D127" s="4" t="s">
        <v>290</v>
      </c>
      <c r="E127" s="4" t="s">
        <v>291</v>
      </c>
      <c r="F127" s="4" t="s">
        <v>265</v>
      </c>
      <c r="G127" s="10"/>
      <c r="H127" s="4" t="s">
        <v>321</v>
      </c>
      <c r="I127" s="4" t="s">
        <v>255</v>
      </c>
      <c r="J127" s="4" t="s">
        <v>262</v>
      </c>
      <c r="K127" s="10"/>
      <c r="L127" s="4" t="s">
        <v>49</v>
      </c>
      <c r="M127" s="4" t="s">
        <v>293</v>
      </c>
      <c r="N127" s="10"/>
      <c r="O127" s="4" t="s">
        <v>65</v>
      </c>
      <c r="P127" s="4" t="s">
        <v>262</v>
      </c>
      <c r="Q127" s="10"/>
      <c r="R127" s="4" t="s">
        <v>53</v>
      </c>
      <c r="S127" s="4" t="s">
        <v>448</v>
      </c>
      <c r="T127" s="4" t="s">
        <v>1472</v>
      </c>
      <c r="U127" s="53" t="s">
        <v>1527</v>
      </c>
      <c r="V127" s="53" t="s">
        <v>1528</v>
      </c>
      <c r="W127" s="10"/>
      <c r="X127" s="10"/>
      <c r="Y127" s="10"/>
      <c r="Z127" s="33" t="s">
        <v>159</v>
      </c>
      <c r="AA127" s="33" t="s">
        <v>1461</v>
      </c>
      <c r="AB127" s="32"/>
      <c r="AC127" s="10"/>
      <c r="AD127" s="4" t="s">
        <v>53</v>
      </c>
      <c r="AE127" s="53" t="s">
        <v>1502</v>
      </c>
      <c r="AF127" s="10"/>
      <c r="AG127" s="4" t="s">
        <v>69</v>
      </c>
      <c r="AH127" s="54" t="s">
        <v>1472</v>
      </c>
      <c r="AI127" s="33"/>
      <c r="AJ127" s="4" t="s">
        <v>39</v>
      </c>
      <c r="AK127" s="30" t="s">
        <v>1406</v>
      </c>
      <c r="AL127" s="10"/>
      <c r="AM127" s="24">
        <v>16</v>
      </c>
      <c r="AN127" s="53" t="s">
        <v>746</v>
      </c>
      <c r="AO127" s="53" t="s">
        <v>749</v>
      </c>
      <c r="AP127" s="53" t="s">
        <v>1475</v>
      </c>
      <c r="AQ127" s="8"/>
      <c r="AR127" s="8"/>
      <c r="AS127" s="8"/>
    </row>
    <row r="128" spans="1:45" ht="18" customHeight="1">
      <c r="A128" s="4" t="s">
        <v>72</v>
      </c>
      <c r="B128" s="4" t="s">
        <v>257</v>
      </c>
      <c r="C128" s="4" t="s">
        <v>246</v>
      </c>
      <c r="D128" s="4" t="s">
        <v>290</v>
      </c>
      <c r="E128" s="4" t="s">
        <v>291</v>
      </c>
      <c r="F128" s="4" t="s">
        <v>305</v>
      </c>
      <c r="G128" s="10"/>
      <c r="H128" s="4" t="s">
        <v>321</v>
      </c>
      <c r="I128" s="4" t="s">
        <v>255</v>
      </c>
      <c r="J128" s="4" t="s">
        <v>262</v>
      </c>
      <c r="K128" s="10"/>
      <c r="L128" s="4" t="s">
        <v>53</v>
      </c>
      <c r="M128" s="4" t="s">
        <v>293</v>
      </c>
      <c r="N128" s="10"/>
      <c r="O128" s="4" t="s">
        <v>69</v>
      </c>
      <c r="P128" s="4" t="s">
        <v>262</v>
      </c>
      <c r="Q128" s="10"/>
      <c r="R128" s="4" t="s">
        <v>56</v>
      </c>
      <c r="S128" s="4" t="s">
        <v>689</v>
      </c>
      <c r="T128" s="4" t="s">
        <v>1472</v>
      </c>
      <c r="U128" s="53" t="s">
        <v>1529</v>
      </c>
      <c r="V128" s="53" t="s">
        <v>1530</v>
      </c>
      <c r="W128" s="10"/>
      <c r="X128" s="10"/>
      <c r="Y128" s="10"/>
      <c r="Z128" s="35" t="s">
        <v>159</v>
      </c>
      <c r="AA128" s="35"/>
      <c r="AB128" s="34"/>
      <c r="AC128" s="10"/>
      <c r="AD128" s="4" t="s">
        <v>56</v>
      </c>
      <c r="AE128" s="53" t="s">
        <v>1473</v>
      </c>
      <c r="AF128" s="10"/>
      <c r="AG128" s="4" t="s">
        <v>72</v>
      </c>
      <c r="AH128" s="54" t="s">
        <v>1486</v>
      </c>
      <c r="AI128" s="33"/>
      <c r="AJ128" s="4" t="s">
        <v>43</v>
      </c>
      <c r="AK128" s="30" t="s">
        <v>1437</v>
      </c>
      <c r="AL128" s="10"/>
      <c r="AM128" s="24">
        <v>17</v>
      </c>
      <c r="AN128" s="53" t="s">
        <v>767</v>
      </c>
      <c r="AO128" s="53" t="s">
        <v>770</v>
      </c>
      <c r="AP128" s="53" t="s">
        <v>1475</v>
      </c>
      <c r="AQ128" s="8"/>
      <c r="AR128" s="8"/>
      <c r="AS128" s="8"/>
    </row>
    <row r="129" spans="1:45" ht="18" customHeight="1">
      <c r="A129" s="4" t="s">
        <v>75</v>
      </c>
      <c r="B129" s="4" t="s">
        <v>257</v>
      </c>
      <c r="C129" s="4" t="s">
        <v>246</v>
      </c>
      <c r="D129" s="4" t="s">
        <v>290</v>
      </c>
      <c r="E129" s="4" t="s">
        <v>378</v>
      </c>
      <c r="F129" s="4" t="s">
        <v>305</v>
      </c>
      <c r="G129" s="10"/>
      <c r="H129" s="4" t="s">
        <v>377</v>
      </c>
      <c r="I129" s="4" t="s">
        <v>255</v>
      </c>
      <c r="J129" s="4" t="s">
        <v>262</v>
      </c>
      <c r="K129" s="10"/>
      <c r="L129" s="4" t="s">
        <v>56</v>
      </c>
      <c r="M129" s="4" t="s">
        <v>293</v>
      </c>
      <c r="N129" s="10"/>
      <c r="O129" s="4" t="s">
        <v>72</v>
      </c>
      <c r="P129" s="4" t="s">
        <v>262</v>
      </c>
      <c r="Q129" s="10"/>
      <c r="R129" s="4" t="s">
        <v>60</v>
      </c>
      <c r="S129" s="4" t="s">
        <v>1531</v>
      </c>
      <c r="T129" s="4" t="s">
        <v>1472</v>
      </c>
      <c r="U129" s="53" t="s">
        <v>1476</v>
      </c>
      <c r="V129" s="53" t="s">
        <v>1532</v>
      </c>
      <c r="W129" s="10"/>
      <c r="X129" s="10"/>
      <c r="Y129" s="10"/>
      <c r="Z129" s="32" t="s">
        <v>163</v>
      </c>
      <c r="AA129" s="27" t="s">
        <v>1405</v>
      </c>
      <c r="AB129" s="32" t="s">
        <v>1072</v>
      </c>
      <c r="AC129" s="10"/>
      <c r="AD129" s="4" t="s">
        <v>60</v>
      </c>
      <c r="AE129" s="53" t="s">
        <v>1476</v>
      </c>
      <c r="AF129" s="10"/>
      <c r="AG129" s="4" t="s">
        <v>75</v>
      </c>
      <c r="AH129" s="54" t="s">
        <v>1486</v>
      </c>
      <c r="AI129" s="33"/>
      <c r="AJ129" s="4" t="s">
        <v>49</v>
      </c>
      <c r="AK129" s="30" t="s">
        <v>1406</v>
      </c>
      <c r="AL129" s="10"/>
      <c r="AM129" s="24">
        <v>18</v>
      </c>
      <c r="AN129" s="53" t="s">
        <v>792</v>
      </c>
      <c r="AO129" s="53" t="s">
        <v>795</v>
      </c>
      <c r="AP129" s="53" t="s">
        <v>1487</v>
      </c>
      <c r="AQ129" s="8"/>
      <c r="AR129" s="8"/>
      <c r="AS129" s="8"/>
    </row>
    <row r="130" spans="1:45" ht="17.25" customHeight="1">
      <c r="A130" s="4" t="s">
        <v>79</v>
      </c>
      <c r="B130" s="4" t="s">
        <v>257</v>
      </c>
      <c r="C130" s="4" t="s">
        <v>246</v>
      </c>
      <c r="D130" s="4" t="s">
        <v>514</v>
      </c>
      <c r="E130" s="4" t="s">
        <v>515</v>
      </c>
      <c r="F130" s="4" t="s">
        <v>265</v>
      </c>
      <c r="G130" s="10"/>
      <c r="H130" s="4" t="s">
        <v>321</v>
      </c>
      <c r="I130" s="4" t="s">
        <v>379</v>
      </c>
      <c r="J130" s="4" t="s">
        <v>262</v>
      </c>
      <c r="K130" s="10"/>
      <c r="L130" s="4" t="s">
        <v>60</v>
      </c>
      <c r="M130" s="4" t="s">
        <v>712</v>
      </c>
      <c r="N130" s="10"/>
      <c r="O130" s="4" t="s">
        <v>75</v>
      </c>
      <c r="P130" s="4" t="s">
        <v>262</v>
      </c>
      <c r="Q130" s="10"/>
      <c r="R130" s="4" t="s">
        <v>65</v>
      </c>
      <c r="S130" s="4" t="s">
        <v>1533</v>
      </c>
      <c r="T130" s="4" t="s">
        <v>1472</v>
      </c>
      <c r="U130" s="53" t="s">
        <v>1473</v>
      </c>
      <c r="V130" s="53" t="s">
        <v>1534</v>
      </c>
      <c r="W130" s="10"/>
      <c r="X130" s="10"/>
      <c r="Y130" s="10"/>
      <c r="Z130" s="32" t="s">
        <v>163</v>
      </c>
      <c r="AA130" s="32" t="s">
        <v>1416</v>
      </c>
      <c r="AB130" s="32"/>
      <c r="AC130" s="10"/>
      <c r="AD130" s="4" t="s">
        <v>65</v>
      </c>
      <c r="AE130" s="53" t="s">
        <v>1473</v>
      </c>
      <c r="AF130" s="10"/>
      <c r="AG130" s="4" t="s">
        <v>79</v>
      </c>
      <c r="AH130" s="54" t="s">
        <v>1472</v>
      </c>
      <c r="AI130" s="33"/>
      <c r="AJ130" s="4" t="s">
        <v>53</v>
      </c>
      <c r="AK130" s="30" t="s">
        <v>1406</v>
      </c>
      <c r="AL130" s="10"/>
      <c r="AM130" s="24">
        <v>19</v>
      </c>
      <c r="AN130" s="53" t="s">
        <v>806</v>
      </c>
      <c r="AO130" s="53" t="s">
        <v>809</v>
      </c>
      <c r="AP130" s="4" t="s">
        <v>1475</v>
      </c>
      <c r="AQ130" s="8"/>
      <c r="AR130" s="8"/>
      <c r="AS130" s="8"/>
    </row>
    <row r="131" spans="1:45" ht="18.75" customHeight="1">
      <c r="A131" s="4" t="s">
        <v>84</v>
      </c>
      <c r="B131" s="4" t="s">
        <v>257</v>
      </c>
      <c r="C131" s="4" t="s">
        <v>317</v>
      </c>
      <c r="D131" s="4" t="s">
        <v>290</v>
      </c>
      <c r="E131" s="4" t="s">
        <v>515</v>
      </c>
      <c r="F131" s="4" t="s">
        <v>305</v>
      </c>
      <c r="G131" s="10"/>
      <c r="H131" s="4" t="s">
        <v>321</v>
      </c>
      <c r="I131" s="4" t="s">
        <v>379</v>
      </c>
      <c r="J131" s="4" t="s">
        <v>262</v>
      </c>
      <c r="K131" s="10"/>
      <c r="L131" s="4" t="s">
        <v>65</v>
      </c>
      <c r="M131" s="4" t="s">
        <v>732</v>
      </c>
      <c r="N131" s="10"/>
      <c r="O131" s="4" t="s">
        <v>79</v>
      </c>
      <c r="P131" s="4" t="s">
        <v>262</v>
      </c>
      <c r="Q131" s="10"/>
      <c r="R131" s="4" t="s">
        <v>69</v>
      </c>
      <c r="S131" s="4" t="s">
        <v>1535</v>
      </c>
      <c r="T131" s="4" t="s">
        <v>1472</v>
      </c>
      <c r="U131" s="53" t="s">
        <v>1473</v>
      </c>
      <c r="V131" s="53" t="s">
        <v>1536</v>
      </c>
      <c r="W131" s="10"/>
      <c r="X131" s="10"/>
      <c r="Y131" s="10"/>
      <c r="Z131" s="32" t="s">
        <v>163</v>
      </c>
      <c r="AA131" s="34" t="s">
        <v>1537</v>
      </c>
      <c r="AB131" s="34"/>
      <c r="AC131" s="10"/>
      <c r="AD131" s="4" t="s">
        <v>69</v>
      </c>
      <c r="AE131" s="53" t="s">
        <v>1473</v>
      </c>
      <c r="AF131" s="10"/>
      <c r="AG131" s="4" t="s">
        <v>84</v>
      </c>
      <c r="AH131" s="54" t="s">
        <v>1486</v>
      </c>
      <c r="AI131" s="33"/>
      <c r="AJ131" s="4" t="s">
        <v>56</v>
      </c>
      <c r="AK131" s="30" t="s">
        <v>1406</v>
      </c>
      <c r="AL131" s="10"/>
      <c r="AM131" s="24">
        <v>20</v>
      </c>
      <c r="AN131" s="53" t="s">
        <v>823</v>
      </c>
      <c r="AO131" s="53" t="s">
        <v>826</v>
      </c>
      <c r="AP131" s="4" t="s">
        <v>1475</v>
      </c>
      <c r="AQ131" s="8"/>
      <c r="AR131" s="8"/>
      <c r="AS131" s="8"/>
    </row>
    <row r="132" spans="1:45" ht="20.25" customHeight="1">
      <c r="A132" s="4" t="s">
        <v>87</v>
      </c>
      <c r="B132" s="4" t="s">
        <v>257</v>
      </c>
      <c r="C132" s="4" t="s">
        <v>246</v>
      </c>
      <c r="D132" s="4" t="s">
        <v>514</v>
      </c>
      <c r="E132" s="4" t="s">
        <v>515</v>
      </c>
      <c r="F132" s="4" t="s">
        <v>305</v>
      </c>
      <c r="G132" s="10"/>
      <c r="H132" s="4" t="s">
        <v>321</v>
      </c>
      <c r="I132" s="4" t="s">
        <v>379</v>
      </c>
      <c r="J132" s="4" t="s">
        <v>262</v>
      </c>
      <c r="K132" s="10"/>
      <c r="L132" s="4" t="s">
        <v>69</v>
      </c>
      <c r="M132" s="4" t="s">
        <v>427</v>
      </c>
      <c r="N132" s="10"/>
      <c r="O132" s="4" t="s">
        <v>84</v>
      </c>
      <c r="P132" s="4" t="s">
        <v>262</v>
      </c>
      <c r="Q132" s="10"/>
      <c r="R132" s="4" t="s">
        <v>72</v>
      </c>
      <c r="S132" s="4" t="s">
        <v>1538</v>
      </c>
      <c r="T132" s="4" t="s">
        <v>1501</v>
      </c>
      <c r="U132" s="53" t="s">
        <v>1473</v>
      </c>
      <c r="V132" s="53" t="s">
        <v>774</v>
      </c>
      <c r="W132" s="10"/>
      <c r="X132" s="10"/>
      <c r="Y132" s="10"/>
      <c r="Z132" s="27" t="s">
        <v>168</v>
      </c>
      <c r="AA132" s="31" t="s">
        <v>1405</v>
      </c>
      <c r="AB132" s="27" t="s">
        <v>1406</v>
      </c>
      <c r="AC132" s="10"/>
      <c r="AD132" s="4" t="s">
        <v>72</v>
      </c>
      <c r="AE132" s="53" t="s">
        <v>847</v>
      </c>
      <c r="AF132" s="10"/>
      <c r="AG132" s="4" t="s">
        <v>87</v>
      </c>
      <c r="AH132" s="54" t="s">
        <v>1472</v>
      </c>
      <c r="AI132" s="33"/>
      <c r="AJ132" s="4" t="s">
        <v>56</v>
      </c>
      <c r="AK132" s="30" t="s">
        <v>1424</v>
      </c>
      <c r="AL132" s="10"/>
      <c r="AM132" s="24">
        <v>21</v>
      </c>
      <c r="AN132" s="53" t="s">
        <v>844</v>
      </c>
      <c r="AO132" s="53" t="s">
        <v>847</v>
      </c>
      <c r="AP132" s="53" t="s">
        <v>1475</v>
      </c>
      <c r="AQ132" s="8"/>
      <c r="AR132" s="8"/>
      <c r="AS132" s="8"/>
    </row>
    <row r="133" spans="1:45" ht="37.5" customHeight="1">
      <c r="A133" s="4" t="s">
        <v>91</v>
      </c>
      <c r="B133" s="4" t="s">
        <v>257</v>
      </c>
      <c r="C133" s="4" t="s">
        <v>864</v>
      </c>
      <c r="D133" s="4" t="s">
        <v>290</v>
      </c>
      <c r="E133" s="4" t="s">
        <v>515</v>
      </c>
      <c r="F133" s="4" t="s">
        <v>305</v>
      </c>
      <c r="G133" s="10"/>
      <c r="H133" s="4" t="s">
        <v>321</v>
      </c>
      <c r="I133" s="4" t="s">
        <v>255</v>
      </c>
      <c r="J133" s="4" t="s">
        <v>262</v>
      </c>
      <c r="K133" s="10"/>
      <c r="L133" s="4" t="s">
        <v>72</v>
      </c>
      <c r="M133" s="4" t="s">
        <v>772</v>
      </c>
      <c r="N133" s="10"/>
      <c r="O133" s="4" t="s">
        <v>87</v>
      </c>
      <c r="P133" s="4" t="s">
        <v>262</v>
      </c>
      <c r="Q133" s="10"/>
      <c r="R133" s="4" t="s">
        <v>75</v>
      </c>
      <c r="S133" s="4" t="s">
        <v>1539</v>
      </c>
      <c r="T133" s="4" t="s">
        <v>1540</v>
      </c>
      <c r="U133" s="53" t="s">
        <v>1476</v>
      </c>
      <c r="V133" s="53" t="s">
        <v>1541</v>
      </c>
      <c r="W133" s="10"/>
      <c r="X133" s="10"/>
      <c r="Y133" s="10"/>
      <c r="Z133" s="32" t="s">
        <v>168</v>
      </c>
      <c r="AA133" s="32" t="s">
        <v>1416</v>
      </c>
      <c r="AB133" s="32" t="s">
        <v>1412</v>
      </c>
      <c r="AC133" s="10"/>
      <c r="AD133" s="4" t="s">
        <v>75</v>
      </c>
      <c r="AE133" s="53" t="s">
        <v>1476</v>
      </c>
      <c r="AF133" s="10"/>
      <c r="AG133" s="4" t="s">
        <v>91</v>
      </c>
      <c r="AH133" s="54" t="s">
        <v>1498</v>
      </c>
      <c r="AI133" s="33"/>
      <c r="AJ133" s="4" t="s">
        <v>60</v>
      </c>
      <c r="AK133" s="30" t="s">
        <v>1412</v>
      </c>
      <c r="AL133" s="10"/>
      <c r="AM133" s="24">
        <v>22</v>
      </c>
      <c r="AN133" s="53" t="s">
        <v>863</v>
      </c>
      <c r="AO133" s="53" t="s">
        <v>867</v>
      </c>
      <c r="AP133" s="55" t="s">
        <v>1475</v>
      </c>
      <c r="AQ133" s="8"/>
      <c r="AR133" s="8"/>
      <c r="AS133" s="8"/>
    </row>
    <row r="134" spans="1:45" ht="16.5" customHeight="1">
      <c r="A134" s="4" t="s">
        <v>95</v>
      </c>
      <c r="B134" s="4" t="s">
        <v>257</v>
      </c>
      <c r="C134" s="4" t="s">
        <v>317</v>
      </c>
      <c r="D134" s="4" t="s">
        <v>290</v>
      </c>
      <c r="E134" s="4" t="s">
        <v>291</v>
      </c>
      <c r="F134" s="4" t="s">
        <v>265</v>
      </c>
      <c r="G134" s="10"/>
      <c r="H134" s="4" t="s">
        <v>321</v>
      </c>
      <c r="I134" s="4" t="s">
        <v>255</v>
      </c>
      <c r="J134" s="4" t="s">
        <v>262</v>
      </c>
      <c r="K134" s="10"/>
      <c r="L134" s="4" t="s">
        <v>75</v>
      </c>
      <c r="M134" s="4" t="s">
        <v>386</v>
      </c>
      <c r="N134" s="10"/>
      <c r="O134" s="4" t="s">
        <v>91</v>
      </c>
      <c r="P134" s="4" t="s">
        <v>262</v>
      </c>
      <c r="Q134" s="10"/>
      <c r="R134" s="4" t="s">
        <v>79</v>
      </c>
      <c r="S134" s="4" t="s">
        <v>1542</v>
      </c>
      <c r="T134" s="4" t="s">
        <v>1472</v>
      </c>
      <c r="U134" s="53" t="s">
        <v>1473</v>
      </c>
      <c r="V134" s="53" t="s">
        <v>1543</v>
      </c>
      <c r="W134" s="10"/>
      <c r="X134" s="10"/>
      <c r="Y134" s="10"/>
      <c r="Z134" s="32" t="s">
        <v>168</v>
      </c>
      <c r="AA134" s="35" t="s">
        <v>692</v>
      </c>
      <c r="AB134" s="34"/>
      <c r="AC134" s="10"/>
      <c r="AD134" s="4" t="s">
        <v>79</v>
      </c>
      <c r="AE134" s="53" t="s">
        <v>1473</v>
      </c>
      <c r="AF134" s="10"/>
      <c r="AG134" s="4" t="s">
        <v>95</v>
      </c>
      <c r="AH134" s="54" t="s">
        <v>1472</v>
      </c>
      <c r="AI134" s="33"/>
      <c r="AJ134" s="4" t="s">
        <v>60</v>
      </c>
      <c r="AK134" s="30" t="s">
        <v>1406</v>
      </c>
      <c r="AL134" s="10"/>
      <c r="AM134" s="24">
        <v>23</v>
      </c>
      <c r="AN134" s="55" t="s">
        <v>888</v>
      </c>
      <c r="AO134" s="53" t="s">
        <v>891</v>
      </c>
      <c r="AP134" s="53" t="s">
        <v>1475</v>
      </c>
      <c r="AQ134" s="8"/>
      <c r="AR134" s="8"/>
      <c r="AS134" s="8"/>
    </row>
    <row r="135" spans="1:45" ht="46.5" customHeight="1">
      <c r="A135" s="4" t="s">
        <v>98</v>
      </c>
      <c r="B135" s="4" t="s">
        <v>257</v>
      </c>
      <c r="C135" s="4" t="s">
        <v>246</v>
      </c>
      <c r="D135" s="4" t="s">
        <v>290</v>
      </c>
      <c r="E135" s="4" t="s">
        <v>515</v>
      </c>
      <c r="F135" s="4" t="s">
        <v>305</v>
      </c>
      <c r="G135" s="10"/>
      <c r="H135" s="4" t="s">
        <v>321</v>
      </c>
      <c r="I135" s="4" t="s">
        <v>379</v>
      </c>
      <c r="J135" s="4" t="s">
        <v>262</v>
      </c>
      <c r="K135" s="10"/>
      <c r="L135" s="4" t="s">
        <v>79</v>
      </c>
      <c r="M135" s="4" t="s">
        <v>293</v>
      </c>
      <c r="N135" s="10"/>
      <c r="O135" s="4" t="s">
        <v>95</v>
      </c>
      <c r="P135" s="4" t="s">
        <v>262</v>
      </c>
      <c r="Q135" s="10"/>
      <c r="R135" s="4" t="s">
        <v>84</v>
      </c>
      <c r="S135" s="4" t="s">
        <v>1544</v>
      </c>
      <c r="T135" s="4" t="s">
        <v>1545</v>
      </c>
      <c r="U135" s="53" t="s">
        <v>1499</v>
      </c>
      <c r="V135" s="53" t="s">
        <v>829</v>
      </c>
      <c r="W135" s="10"/>
      <c r="X135" s="10"/>
      <c r="Y135" s="10"/>
      <c r="Z135" s="27" t="s">
        <v>172</v>
      </c>
      <c r="AA135" s="27" t="s">
        <v>1405</v>
      </c>
      <c r="AB135" s="27" t="s">
        <v>1406</v>
      </c>
      <c r="AC135" s="10"/>
      <c r="AD135" s="4" t="s">
        <v>84</v>
      </c>
      <c r="AE135" s="53" t="s">
        <v>1499</v>
      </c>
      <c r="AF135" s="10"/>
      <c r="AG135" s="4" t="s">
        <v>98</v>
      </c>
      <c r="AH135" s="54" t="s">
        <v>1486</v>
      </c>
      <c r="AI135" s="33"/>
      <c r="AJ135" s="4" t="s">
        <v>65</v>
      </c>
      <c r="AK135" s="30" t="s">
        <v>1452</v>
      </c>
      <c r="AL135" s="10"/>
      <c r="AM135" s="24">
        <v>24</v>
      </c>
      <c r="AN135" s="53" t="s">
        <v>912</v>
      </c>
      <c r="AO135" s="53" t="s">
        <v>915</v>
      </c>
      <c r="AP135" s="53" t="s">
        <v>1475</v>
      </c>
      <c r="AQ135" s="8"/>
      <c r="AR135" s="8"/>
      <c r="AS135" s="8"/>
    </row>
    <row r="136" spans="1:45" ht="43.5" customHeight="1">
      <c r="A136" s="4" t="s">
        <v>102</v>
      </c>
      <c r="B136" s="4" t="s">
        <v>257</v>
      </c>
      <c r="C136" s="4" t="s">
        <v>246</v>
      </c>
      <c r="D136" s="4" t="s">
        <v>290</v>
      </c>
      <c r="E136" s="4" t="s">
        <v>291</v>
      </c>
      <c r="F136" s="4" t="s">
        <v>305</v>
      </c>
      <c r="G136" s="10"/>
      <c r="H136" s="4" t="s">
        <v>252</v>
      </c>
      <c r="I136" s="4" t="s">
        <v>255</v>
      </c>
      <c r="J136" s="4" t="s">
        <v>262</v>
      </c>
      <c r="K136" s="10"/>
      <c r="L136" s="4" t="s">
        <v>84</v>
      </c>
      <c r="M136" s="4" t="s">
        <v>427</v>
      </c>
      <c r="N136" s="10"/>
      <c r="O136" s="4" t="s">
        <v>98</v>
      </c>
      <c r="P136" s="4" t="s">
        <v>262</v>
      </c>
      <c r="Q136" s="10"/>
      <c r="R136" s="4" t="s">
        <v>87</v>
      </c>
      <c r="S136" s="4" t="s">
        <v>1546</v>
      </c>
      <c r="T136" s="4" t="s">
        <v>1472</v>
      </c>
      <c r="U136" s="53" t="s">
        <v>847</v>
      </c>
      <c r="V136" s="53" t="s">
        <v>774</v>
      </c>
      <c r="W136" s="10"/>
      <c r="X136" s="10"/>
      <c r="Y136" s="10"/>
      <c r="Z136" s="32" t="s">
        <v>172</v>
      </c>
      <c r="AA136" s="32" t="s">
        <v>1416</v>
      </c>
      <c r="AB136" s="32" t="s">
        <v>1412</v>
      </c>
      <c r="AC136" s="10"/>
      <c r="AD136" s="4" t="s">
        <v>87</v>
      </c>
      <c r="AE136" s="53" t="s">
        <v>847</v>
      </c>
      <c r="AF136" s="10"/>
      <c r="AG136" s="4" t="s">
        <v>102</v>
      </c>
      <c r="AH136" s="54" t="s">
        <v>1472</v>
      </c>
      <c r="AI136" s="33"/>
      <c r="AJ136" s="4" t="s">
        <v>69</v>
      </c>
      <c r="AK136" s="30" t="s">
        <v>1406</v>
      </c>
      <c r="AL136" s="10"/>
      <c r="AM136" s="24">
        <v>25</v>
      </c>
      <c r="AN136" s="53" t="s">
        <v>933</v>
      </c>
      <c r="AO136" s="53" t="s">
        <v>936</v>
      </c>
      <c r="AP136" s="55" t="s">
        <v>1475</v>
      </c>
      <c r="AQ136" s="8"/>
      <c r="AR136" s="8"/>
      <c r="AS136" s="8"/>
    </row>
    <row r="137" spans="1:45" ht="15" customHeight="1">
      <c r="A137" s="4" t="s">
        <v>106</v>
      </c>
      <c r="B137" s="4" t="s">
        <v>257</v>
      </c>
      <c r="C137" s="4" t="s">
        <v>246</v>
      </c>
      <c r="D137" s="4" t="s">
        <v>514</v>
      </c>
      <c r="E137" s="4" t="s">
        <v>378</v>
      </c>
      <c r="F137" s="4" t="s">
        <v>305</v>
      </c>
      <c r="G137" s="10"/>
      <c r="H137" s="4" t="s">
        <v>321</v>
      </c>
      <c r="I137" s="4" t="s">
        <v>255</v>
      </c>
      <c r="J137" s="4" t="s">
        <v>262</v>
      </c>
      <c r="K137" s="10"/>
      <c r="L137" s="4" t="s">
        <v>87</v>
      </c>
      <c r="M137" s="4" t="s">
        <v>772</v>
      </c>
      <c r="N137" s="10"/>
      <c r="O137" s="4" t="s">
        <v>102</v>
      </c>
      <c r="P137" s="4" t="s">
        <v>262</v>
      </c>
      <c r="Q137" s="10"/>
      <c r="R137" s="4" t="s">
        <v>91</v>
      </c>
      <c r="S137" s="4" t="s">
        <v>1518</v>
      </c>
      <c r="T137" s="4" t="s">
        <v>1547</v>
      </c>
      <c r="U137" s="53" t="s">
        <v>1529</v>
      </c>
      <c r="V137" s="53" t="s">
        <v>1548</v>
      </c>
      <c r="W137" s="10"/>
      <c r="X137" s="10"/>
      <c r="Y137" s="10"/>
      <c r="Z137" s="32" t="s">
        <v>172</v>
      </c>
      <c r="AA137" s="34" t="s">
        <v>692</v>
      </c>
      <c r="AB137" s="34"/>
      <c r="AC137" s="10"/>
      <c r="AD137" s="4" t="s">
        <v>91</v>
      </c>
      <c r="AE137" s="53" t="s">
        <v>1473</v>
      </c>
      <c r="AF137" s="10"/>
      <c r="AG137" s="4" t="s">
        <v>106</v>
      </c>
      <c r="AH137" s="54" t="s">
        <v>1472</v>
      </c>
      <c r="AI137" s="33"/>
      <c r="AJ137" s="4" t="s">
        <v>69</v>
      </c>
      <c r="AK137" s="30" t="s">
        <v>1424</v>
      </c>
      <c r="AL137" s="10"/>
      <c r="AM137" s="24">
        <v>26</v>
      </c>
      <c r="AN137" s="53" t="s">
        <v>955</v>
      </c>
      <c r="AO137" s="53" t="s">
        <v>958</v>
      </c>
      <c r="AP137" s="55" t="s">
        <v>1475</v>
      </c>
      <c r="AQ137" s="8"/>
      <c r="AR137" s="8"/>
      <c r="AS137" s="8"/>
    </row>
    <row r="138" spans="1:45" ht="18" customHeight="1">
      <c r="A138" s="4" t="s">
        <v>110</v>
      </c>
      <c r="B138" s="4" t="s">
        <v>257</v>
      </c>
      <c r="C138" s="4" t="s">
        <v>246</v>
      </c>
      <c r="D138" s="4" t="s">
        <v>290</v>
      </c>
      <c r="E138" s="4" t="s">
        <v>291</v>
      </c>
      <c r="F138" s="4" t="s">
        <v>305</v>
      </c>
      <c r="G138" s="10"/>
      <c r="H138" s="4" t="s">
        <v>321</v>
      </c>
      <c r="I138" s="4" t="s">
        <v>255</v>
      </c>
      <c r="J138" s="4" t="s">
        <v>265</v>
      </c>
      <c r="K138" s="10"/>
      <c r="L138" s="4" t="s">
        <v>91</v>
      </c>
      <c r="M138" s="4" t="s">
        <v>427</v>
      </c>
      <c r="N138" s="10"/>
      <c r="O138" s="4" t="s">
        <v>106</v>
      </c>
      <c r="P138" s="4" t="s">
        <v>262</v>
      </c>
      <c r="Q138" s="10"/>
      <c r="R138" s="4" t="s">
        <v>95</v>
      </c>
      <c r="S138" s="4" t="s">
        <v>1549</v>
      </c>
      <c r="T138" s="4" t="s">
        <v>1472</v>
      </c>
      <c r="U138" s="53" t="s">
        <v>1473</v>
      </c>
      <c r="V138" s="53" t="s">
        <v>1550</v>
      </c>
      <c r="W138" s="10"/>
      <c r="X138" s="10"/>
      <c r="Y138" s="10"/>
      <c r="Z138" s="27" t="s">
        <v>176</v>
      </c>
      <c r="AA138" s="27" t="s">
        <v>1405</v>
      </c>
      <c r="AB138" s="27" t="s">
        <v>1406</v>
      </c>
      <c r="AC138" s="10"/>
      <c r="AD138" s="4" t="s">
        <v>95</v>
      </c>
      <c r="AE138" s="53" t="s">
        <v>1473</v>
      </c>
      <c r="AF138" s="10"/>
      <c r="AG138" s="4" t="s">
        <v>110</v>
      </c>
      <c r="AH138" s="54" t="s">
        <v>1472</v>
      </c>
      <c r="AI138" s="33"/>
      <c r="AJ138" s="4" t="s">
        <v>72</v>
      </c>
      <c r="AK138" s="30" t="s">
        <v>1406</v>
      </c>
      <c r="AL138" s="10"/>
      <c r="AM138" s="24">
        <v>27</v>
      </c>
      <c r="AN138" s="53" t="s">
        <v>974</v>
      </c>
      <c r="AO138" s="53" t="s">
        <v>978</v>
      </c>
      <c r="AP138" s="53" t="s">
        <v>1475</v>
      </c>
      <c r="AQ138" s="8"/>
      <c r="AR138" s="8"/>
      <c r="AS138" s="8"/>
    </row>
    <row r="139" spans="1:45" ht="15.75" customHeight="1">
      <c r="A139" s="4" t="s">
        <v>114</v>
      </c>
      <c r="B139" s="4" t="s">
        <v>257</v>
      </c>
      <c r="C139" s="4" t="s">
        <v>317</v>
      </c>
      <c r="D139" s="4" t="s">
        <v>290</v>
      </c>
      <c r="E139" s="4" t="s">
        <v>291</v>
      </c>
      <c r="F139" s="4" t="s">
        <v>305</v>
      </c>
      <c r="G139" s="10"/>
      <c r="H139" s="4" t="s">
        <v>321</v>
      </c>
      <c r="I139" s="4" t="s">
        <v>255</v>
      </c>
      <c r="J139" s="4" t="s">
        <v>262</v>
      </c>
      <c r="K139" s="10"/>
      <c r="L139" s="4" t="s">
        <v>91</v>
      </c>
      <c r="M139" s="4" t="s">
        <v>293</v>
      </c>
      <c r="N139" s="10"/>
      <c r="O139" s="4" t="s">
        <v>110</v>
      </c>
      <c r="P139" s="4" t="s">
        <v>262</v>
      </c>
      <c r="Q139" s="10"/>
      <c r="R139" s="4" t="s">
        <v>98</v>
      </c>
      <c r="S139" s="4" t="s">
        <v>1551</v>
      </c>
      <c r="T139" s="4" t="s">
        <v>1552</v>
      </c>
      <c r="U139" s="53" t="s">
        <v>1473</v>
      </c>
      <c r="V139" s="53" t="s">
        <v>1553</v>
      </c>
      <c r="W139" s="10"/>
      <c r="X139" s="10"/>
      <c r="Y139" s="10"/>
      <c r="Z139" s="32" t="s">
        <v>176</v>
      </c>
      <c r="AA139" s="34" t="s">
        <v>692</v>
      </c>
      <c r="AB139" s="34"/>
      <c r="AC139" s="10"/>
      <c r="AD139" s="4" t="s">
        <v>98</v>
      </c>
      <c r="AE139" s="53" t="s">
        <v>1473</v>
      </c>
      <c r="AF139" s="10"/>
      <c r="AG139" s="4" t="s">
        <v>114</v>
      </c>
      <c r="AH139" s="54" t="s">
        <v>1472</v>
      </c>
      <c r="AI139" s="33"/>
      <c r="AJ139" s="4" t="s">
        <v>75</v>
      </c>
      <c r="AK139" s="30" t="s">
        <v>1412</v>
      </c>
      <c r="AL139" s="10"/>
      <c r="AM139" s="24">
        <v>28</v>
      </c>
      <c r="AN139" s="53" t="s">
        <v>998</v>
      </c>
      <c r="AO139" s="53" t="s">
        <v>1001</v>
      </c>
      <c r="AP139" s="53" t="s">
        <v>1475</v>
      </c>
      <c r="AQ139" s="8"/>
      <c r="AR139" s="8"/>
      <c r="AS139" s="8"/>
    </row>
    <row r="140" spans="1:45" ht="18.75" customHeight="1">
      <c r="A140" s="4" t="s">
        <v>119</v>
      </c>
      <c r="B140" s="4" t="s">
        <v>257</v>
      </c>
      <c r="C140" s="4" t="s">
        <v>864</v>
      </c>
      <c r="D140" s="4" t="s">
        <v>290</v>
      </c>
      <c r="E140" s="4" t="s">
        <v>378</v>
      </c>
      <c r="F140" s="4" t="s">
        <v>305</v>
      </c>
      <c r="G140" s="10"/>
      <c r="H140" s="4" t="s">
        <v>377</v>
      </c>
      <c r="I140" s="4" t="s">
        <v>255</v>
      </c>
      <c r="J140" s="4" t="s">
        <v>262</v>
      </c>
      <c r="K140" s="10"/>
      <c r="L140" s="4" t="s">
        <v>95</v>
      </c>
      <c r="M140" s="61" t="s">
        <v>1554</v>
      </c>
      <c r="N140" s="10"/>
      <c r="O140" s="4" t="s">
        <v>114</v>
      </c>
      <c r="P140" s="4" t="s">
        <v>262</v>
      </c>
      <c r="Q140" s="10"/>
      <c r="R140" s="4" t="s">
        <v>102</v>
      </c>
      <c r="S140" s="4" t="s">
        <v>1555</v>
      </c>
      <c r="T140" s="4" t="s">
        <v>1472</v>
      </c>
      <c r="U140" s="53" t="s">
        <v>1473</v>
      </c>
      <c r="V140" s="53" t="s">
        <v>1556</v>
      </c>
      <c r="W140" s="10"/>
      <c r="X140" s="10"/>
      <c r="Y140" s="10"/>
      <c r="Z140" s="27" t="s">
        <v>180</v>
      </c>
      <c r="AA140" s="27" t="s">
        <v>1411</v>
      </c>
      <c r="AB140" s="27" t="s">
        <v>1406</v>
      </c>
      <c r="AC140" s="10"/>
      <c r="AD140" s="4" t="s">
        <v>102</v>
      </c>
      <c r="AE140" s="53" t="s">
        <v>1473</v>
      </c>
      <c r="AF140" s="10"/>
      <c r="AG140" s="4" t="s">
        <v>119</v>
      </c>
      <c r="AH140" s="54" t="s">
        <v>1472</v>
      </c>
      <c r="AI140" s="33"/>
      <c r="AJ140" s="4" t="s">
        <v>79</v>
      </c>
      <c r="AK140" s="30" t="s">
        <v>1406</v>
      </c>
      <c r="AL140" s="10"/>
      <c r="AM140" s="24">
        <v>29</v>
      </c>
      <c r="AN140" s="53" t="s">
        <v>1022</v>
      </c>
      <c r="AO140" s="53" t="s">
        <v>1025</v>
      </c>
      <c r="AP140" s="53" t="s">
        <v>1475</v>
      </c>
      <c r="AQ140" s="8"/>
      <c r="AR140" s="8"/>
      <c r="AS140" s="8"/>
    </row>
    <row r="141" spans="1:45" ht="18.75" customHeight="1">
      <c r="A141" s="4" t="s">
        <v>124</v>
      </c>
      <c r="B141" s="4" t="s">
        <v>257</v>
      </c>
      <c r="C141" s="4" t="s">
        <v>246</v>
      </c>
      <c r="D141" s="4" t="s">
        <v>290</v>
      </c>
      <c r="E141" s="4" t="s">
        <v>291</v>
      </c>
      <c r="F141" s="4" t="s">
        <v>265</v>
      </c>
      <c r="G141" s="10"/>
      <c r="H141" s="4" t="s">
        <v>321</v>
      </c>
      <c r="I141" s="4" t="s">
        <v>255</v>
      </c>
      <c r="J141" s="4" t="s">
        <v>262</v>
      </c>
      <c r="K141" s="10"/>
      <c r="L141" s="4" t="s">
        <v>95</v>
      </c>
      <c r="M141" s="4" t="s">
        <v>427</v>
      </c>
      <c r="N141" s="10"/>
      <c r="O141" s="4" t="s">
        <v>119</v>
      </c>
      <c r="P141" s="4" t="s">
        <v>262</v>
      </c>
      <c r="Q141" s="10"/>
      <c r="R141" s="4" t="s">
        <v>106</v>
      </c>
      <c r="S141" s="4" t="s">
        <v>1557</v>
      </c>
      <c r="T141" s="4" t="s">
        <v>1472</v>
      </c>
      <c r="U141" s="8" t="s">
        <v>1529</v>
      </c>
      <c r="V141" s="53" t="s">
        <v>962</v>
      </c>
      <c r="W141" s="10"/>
      <c r="X141" s="10"/>
      <c r="Y141" s="10"/>
      <c r="Z141" s="32" t="s">
        <v>180</v>
      </c>
      <c r="AA141" s="32" t="s">
        <v>1405</v>
      </c>
      <c r="AB141" s="32"/>
      <c r="AC141" s="10"/>
      <c r="AD141" s="4" t="s">
        <v>106</v>
      </c>
      <c r="AE141" s="53" t="s">
        <v>1473</v>
      </c>
      <c r="AF141" s="10"/>
      <c r="AG141" s="4" t="s">
        <v>124</v>
      </c>
      <c r="AH141" s="54" t="s">
        <v>1472</v>
      </c>
      <c r="AI141" s="33"/>
      <c r="AJ141" s="4" t="s">
        <v>84</v>
      </c>
      <c r="AK141" s="30" t="s">
        <v>1406</v>
      </c>
      <c r="AL141" s="10"/>
      <c r="AM141" s="24">
        <v>30</v>
      </c>
      <c r="AN141" s="53" t="s">
        <v>1040</v>
      </c>
      <c r="AO141" s="53" t="s">
        <v>1043</v>
      </c>
      <c r="AP141" s="53" t="s">
        <v>1475</v>
      </c>
      <c r="AQ141" s="8"/>
      <c r="AR141" s="8"/>
      <c r="AS141" s="8"/>
    </row>
    <row r="142" spans="1:45" ht="20.25" customHeight="1">
      <c r="A142" s="4" t="s">
        <v>129</v>
      </c>
      <c r="B142" s="4" t="s">
        <v>257</v>
      </c>
      <c r="C142" s="4" t="s">
        <v>317</v>
      </c>
      <c r="D142" s="4" t="s">
        <v>290</v>
      </c>
      <c r="E142" s="4" t="s">
        <v>291</v>
      </c>
      <c r="F142" s="4" t="s">
        <v>305</v>
      </c>
      <c r="G142" s="10"/>
      <c r="H142" s="4" t="s">
        <v>321</v>
      </c>
      <c r="I142" s="4" t="s">
        <v>255</v>
      </c>
      <c r="J142" s="4" t="s">
        <v>262</v>
      </c>
      <c r="K142" s="10"/>
      <c r="L142" s="4" t="s">
        <v>98</v>
      </c>
      <c r="M142" s="4" t="s">
        <v>293</v>
      </c>
      <c r="N142" s="10"/>
      <c r="O142" s="4" t="s">
        <v>124</v>
      </c>
      <c r="P142" s="4" t="s">
        <v>262</v>
      </c>
      <c r="Q142" s="10"/>
      <c r="R142" s="4" t="s">
        <v>110</v>
      </c>
      <c r="S142" s="4" t="s">
        <v>1558</v>
      </c>
      <c r="T142" s="4" t="s">
        <v>1472</v>
      </c>
      <c r="U142" s="53" t="s">
        <v>1529</v>
      </c>
      <c r="V142" s="53" t="s">
        <v>1556</v>
      </c>
      <c r="W142" s="10"/>
      <c r="X142" s="10"/>
      <c r="Y142" s="10"/>
      <c r="Z142" s="34" t="s">
        <v>180</v>
      </c>
      <c r="AA142" s="63" t="s">
        <v>692</v>
      </c>
      <c r="AB142" s="32"/>
      <c r="AC142" s="10"/>
      <c r="AD142" s="4" t="s">
        <v>110</v>
      </c>
      <c r="AE142" s="53" t="s">
        <v>1473</v>
      </c>
      <c r="AF142" s="10"/>
      <c r="AG142" s="4" t="s">
        <v>129</v>
      </c>
      <c r="AH142" s="54" t="s">
        <v>1486</v>
      </c>
      <c r="AI142" s="33"/>
      <c r="AJ142" s="4" t="s">
        <v>84</v>
      </c>
      <c r="AK142" s="30" t="s">
        <v>1412</v>
      </c>
      <c r="AL142" s="10"/>
      <c r="AM142" s="24">
        <v>31</v>
      </c>
      <c r="AN142" s="53" t="s">
        <v>1061</v>
      </c>
      <c r="AO142" s="53" t="s">
        <v>1063</v>
      </c>
      <c r="AP142" s="53" t="s">
        <v>1475</v>
      </c>
      <c r="AQ142" s="8"/>
      <c r="AR142" s="8"/>
      <c r="AS142" s="8"/>
    </row>
    <row r="143" spans="1:45" ht="20.25" customHeight="1">
      <c r="A143" s="4" t="s">
        <v>132</v>
      </c>
      <c r="B143" s="4" t="s">
        <v>257</v>
      </c>
      <c r="C143" s="4" t="s">
        <v>246</v>
      </c>
      <c r="D143" s="4" t="s">
        <v>290</v>
      </c>
      <c r="E143" s="4" t="s">
        <v>291</v>
      </c>
      <c r="F143" s="4" t="s">
        <v>305</v>
      </c>
      <c r="G143" s="10"/>
      <c r="H143" s="4" t="s">
        <v>321</v>
      </c>
      <c r="I143" s="4" t="s">
        <v>255</v>
      </c>
      <c r="J143" s="4" t="s">
        <v>262</v>
      </c>
      <c r="K143" s="10"/>
      <c r="L143" s="4" t="s">
        <v>102</v>
      </c>
      <c r="M143" s="4" t="s">
        <v>293</v>
      </c>
      <c r="N143" s="10"/>
      <c r="O143" s="4" t="s">
        <v>129</v>
      </c>
      <c r="P143" s="4" t="s">
        <v>1478</v>
      </c>
      <c r="Q143" s="10"/>
      <c r="R143" s="4" t="s">
        <v>114</v>
      </c>
      <c r="S143" s="4" t="s">
        <v>999</v>
      </c>
      <c r="T143" s="4" t="s">
        <v>1472</v>
      </c>
      <c r="U143" s="53" t="s">
        <v>1473</v>
      </c>
      <c r="V143" s="53" t="s">
        <v>1505</v>
      </c>
      <c r="W143" s="10"/>
      <c r="X143" s="10"/>
      <c r="Y143" s="10"/>
      <c r="Z143" s="32" t="s">
        <v>184</v>
      </c>
      <c r="AA143" s="10" t="s">
        <v>1428</v>
      </c>
      <c r="AB143" s="27"/>
      <c r="AC143" s="10"/>
      <c r="AD143" s="4" t="s">
        <v>114</v>
      </c>
      <c r="AE143" s="53" t="s">
        <v>1473</v>
      </c>
      <c r="AF143" s="10"/>
      <c r="AG143" s="4" t="s">
        <v>132</v>
      </c>
      <c r="AH143" s="54" t="s">
        <v>1472</v>
      </c>
      <c r="AI143" s="33"/>
      <c r="AJ143" s="4" t="s">
        <v>87</v>
      </c>
      <c r="AK143" s="30" t="s">
        <v>1406</v>
      </c>
      <c r="AL143" s="10"/>
      <c r="AM143" s="24">
        <v>32</v>
      </c>
      <c r="AN143" s="53" t="s">
        <v>1084</v>
      </c>
      <c r="AO143" s="53" t="s">
        <v>1087</v>
      </c>
      <c r="AP143" s="53" t="s">
        <v>1475</v>
      </c>
      <c r="AQ143" s="8"/>
      <c r="AR143" s="8"/>
      <c r="AS143" s="8"/>
    </row>
    <row r="144" spans="1:45" ht="36" customHeight="1">
      <c r="A144" s="4" t="s">
        <v>136</v>
      </c>
      <c r="B144" s="4" t="s">
        <v>257</v>
      </c>
      <c r="C144" s="4" t="s">
        <v>246</v>
      </c>
      <c r="D144" s="4" t="s">
        <v>290</v>
      </c>
      <c r="E144" s="4" t="s">
        <v>378</v>
      </c>
      <c r="F144" s="4" t="s">
        <v>265</v>
      </c>
      <c r="G144" s="10"/>
      <c r="H144" s="4" t="s">
        <v>377</v>
      </c>
      <c r="I144" s="4" t="s">
        <v>255</v>
      </c>
      <c r="J144" s="4" t="s">
        <v>262</v>
      </c>
      <c r="K144" s="10"/>
      <c r="L144" s="4" t="s">
        <v>106</v>
      </c>
      <c r="M144" s="4" t="s">
        <v>960</v>
      </c>
      <c r="N144" s="10"/>
      <c r="O144" s="4" t="s">
        <v>132</v>
      </c>
      <c r="P144" s="4" t="s">
        <v>262</v>
      </c>
      <c r="Q144" s="10"/>
      <c r="R144" s="4" t="s">
        <v>119</v>
      </c>
      <c r="S144" s="4" t="s">
        <v>1559</v>
      </c>
      <c r="T144" s="4" t="s">
        <v>1472</v>
      </c>
      <c r="U144" s="53" t="s">
        <v>1473</v>
      </c>
      <c r="V144" s="53" t="s">
        <v>1543</v>
      </c>
      <c r="W144" s="10"/>
      <c r="X144" s="10"/>
      <c r="Y144" s="10"/>
      <c r="Z144" s="32" t="s">
        <v>184</v>
      </c>
      <c r="AA144" s="10" t="s">
        <v>692</v>
      </c>
      <c r="AB144" s="32" t="s">
        <v>1406</v>
      </c>
      <c r="AC144" s="10"/>
      <c r="AD144" s="4" t="s">
        <v>119</v>
      </c>
      <c r="AE144" s="53" t="s">
        <v>1473</v>
      </c>
      <c r="AF144" s="10"/>
      <c r="AG144" s="4" t="s">
        <v>136</v>
      </c>
      <c r="AH144" s="54" t="s">
        <v>1498</v>
      </c>
      <c r="AI144" s="33" t="s">
        <v>1560</v>
      </c>
      <c r="AJ144" s="4" t="s">
        <v>91</v>
      </c>
      <c r="AK144" s="30" t="s">
        <v>1406</v>
      </c>
      <c r="AL144" s="10"/>
      <c r="AM144" s="24">
        <v>33</v>
      </c>
      <c r="AN144" s="53" t="s">
        <v>1104</v>
      </c>
      <c r="AO144" s="53" t="s">
        <v>1107</v>
      </c>
      <c r="AP144" s="53" t="s">
        <v>1475</v>
      </c>
      <c r="AQ144" s="8"/>
      <c r="AR144" s="8"/>
      <c r="AS144" s="8"/>
    </row>
    <row r="145" spans="1:45" ht="17.25" customHeight="1">
      <c r="A145" s="4" t="s">
        <v>140</v>
      </c>
      <c r="B145" s="4" t="s">
        <v>257</v>
      </c>
      <c r="C145" s="4" t="s">
        <v>246</v>
      </c>
      <c r="D145" s="4" t="s">
        <v>290</v>
      </c>
      <c r="E145" s="4" t="s">
        <v>378</v>
      </c>
      <c r="F145" s="4" t="s">
        <v>305</v>
      </c>
      <c r="G145" s="10"/>
      <c r="H145" s="4" t="s">
        <v>321</v>
      </c>
      <c r="I145" s="4" t="s">
        <v>255</v>
      </c>
      <c r="J145" s="4" t="s">
        <v>262</v>
      </c>
      <c r="K145" s="10"/>
      <c r="L145" s="4" t="s">
        <v>110</v>
      </c>
      <c r="M145" s="4" t="s">
        <v>1561</v>
      </c>
      <c r="N145" s="10"/>
      <c r="O145" s="4" t="s">
        <v>136</v>
      </c>
      <c r="P145" s="4" t="s">
        <v>1562</v>
      </c>
      <c r="Q145" s="10"/>
      <c r="R145" s="4" t="s">
        <v>124</v>
      </c>
      <c r="S145" s="4" t="s">
        <v>1563</v>
      </c>
      <c r="T145" s="4" t="s">
        <v>1472</v>
      </c>
      <c r="U145" s="53" t="s">
        <v>1473</v>
      </c>
      <c r="V145" s="53" t="s">
        <v>1564</v>
      </c>
      <c r="W145" s="10"/>
      <c r="X145" s="10"/>
      <c r="Y145" s="10"/>
      <c r="Z145" s="32" t="s">
        <v>184</v>
      </c>
      <c r="AA145" s="10" t="s">
        <v>1461</v>
      </c>
      <c r="AB145" s="32" t="s">
        <v>1462</v>
      </c>
      <c r="AC145" s="10"/>
      <c r="AD145" s="4" t="s">
        <v>124</v>
      </c>
      <c r="AE145" s="53" t="s">
        <v>1473</v>
      </c>
      <c r="AF145" s="10"/>
      <c r="AG145" s="4" t="s">
        <v>140</v>
      </c>
      <c r="AH145" s="54" t="s">
        <v>1472</v>
      </c>
      <c r="AI145" s="33"/>
      <c r="AJ145" s="4" t="s">
        <v>95</v>
      </c>
      <c r="AK145" s="30" t="s">
        <v>1406</v>
      </c>
      <c r="AL145" s="10"/>
      <c r="AM145" s="24">
        <v>34</v>
      </c>
      <c r="AN145" s="53" t="s">
        <v>1126</v>
      </c>
      <c r="AO145" s="53" t="s">
        <v>1129</v>
      </c>
      <c r="AP145" s="53" t="s">
        <v>1475</v>
      </c>
      <c r="AQ145" s="8"/>
      <c r="AR145" s="8"/>
      <c r="AS145" s="8"/>
    </row>
    <row r="146" spans="1:45" ht="18.75" customHeight="1">
      <c r="A146" s="4" t="s">
        <v>144</v>
      </c>
      <c r="B146" s="4" t="s">
        <v>257</v>
      </c>
      <c r="C146" s="4" t="s">
        <v>246</v>
      </c>
      <c r="D146" s="4" t="s">
        <v>290</v>
      </c>
      <c r="E146" s="4" t="s">
        <v>515</v>
      </c>
      <c r="F146" s="4" t="s">
        <v>305</v>
      </c>
      <c r="G146" s="10"/>
      <c r="H146" s="4" t="s">
        <v>321</v>
      </c>
      <c r="I146" s="4" t="s">
        <v>379</v>
      </c>
      <c r="J146" s="4" t="s">
        <v>265</v>
      </c>
      <c r="K146" s="10"/>
      <c r="L146" s="4" t="s">
        <v>110</v>
      </c>
      <c r="M146" s="4" t="s">
        <v>427</v>
      </c>
      <c r="N146" s="10"/>
      <c r="O146" s="4" t="s">
        <v>136</v>
      </c>
      <c r="P146" s="4" t="s">
        <v>1517</v>
      </c>
      <c r="Q146" s="10"/>
      <c r="R146" s="4" t="s">
        <v>129</v>
      </c>
      <c r="S146" s="4" t="s">
        <v>1565</v>
      </c>
      <c r="T146" s="4" t="s">
        <v>1566</v>
      </c>
      <c r="U146" s="53" t="s">
        <v>1473</v>
      </c>
      <c r="V146" s="53" t="s">
        <v>1567</v>
      </c>
      <c r="W146" s="10"/>
      <c r="X146" s="10"/>
      <c r="Y146" s="10"/>
      <c r="Z146" s="32" t="s">
        <v>184</v>
      </c>
      <c r="AA146" s="10"/>
      <c r="AB146" s="34"/>
      <c r="AC146" s="10"/>
      <c r="AD146" s="4" t="s">
        <v>129</v>
      </c>
      <c r="AE146" s="53" t="s">
        <v>1473</v>
      </c>
      <c r="AF146" s="10"/>
      <c r="AG146" s="4" t="s">
        <v>144</v>
      </c>
      <c r="AH146" s="54" t="s">
        <v>1472</v>
      </c>
      <c r="AI146" s="33"/>
      <c r="AJ146" s="4" t="s">
        <v>98</v>
      </c>
      <c r="AK146" s="30" t="s">
        <v>1406</v>
      </c>
      <c r="AL146" s="10"/>
      <c r="AM146" s="24">
        <v>35</v>
      </c>
      <c r="AN146" s="53" t="s">
        <v>1149</v>
      </c>
      <c r="AO146" s="53" t="s">
        <v>1152</v>
      </c>
      <c r="AP146" s="53" t="s">
        <v>1568</v>
      </c>
      <c r="AQ146" s="8"/>
      <c r="AR146" s="8"/>
      <c r="AS146" s="8"/>
    </row>
    <row r="147" spans="1:45" ht="20.25" customHeight="1">
      <c r="A147" s="4" t="s">
        <v>147</v>
      </c>
      <c r="B147" s="4" t="s">
        <v>257</v>
      </c>
      <c r="C147" s="4" t="s">
        <v>246</v>
      </c>
      <c r="D147" s="4" t="s">
        <v>290</v>
      </c>
      <c r="E147" s="4" t="s">
        <v>515</v>
      </c>
      <c r="F147" s="4" t="s">
        <v>305</v>
      </c>
      <c r="G147" s="10"/>
      <c r="H147" s="4" t="s">
        <v>321</v>
      </c>
      <c r="I147" s="4" t="s">
        <v>255</v>
      </c>
      <c r="J147" s="4" t="s">
        <v>262</v>
      </c>
      <c r="K147" s="10"/>
      <c r="L147" s="4" t="s">
        <v>114</v>
      </c>
      <c r="M147" s="4" t="s">
        <v>772</v>
      </c>
      <c r="N147" s="10"/>
      <c r="O147" s="4" t="s">
        <v>140</v>
      </c>
      <c r="P147" s="4" t="s">
        <v>262</v>
      </c>
      <c r="Q147" s="10"/>
      <c r="R147" s="27" t="s">
        <v>132</v>
      </c>
      <c r="S147" s="27" t="s">
        <v>1569</v>
      </c>
      <c r="T147" s="27" t="s">
        <v>1472</v>
      </c>
      <c r="U147" s="53" t="s">
        <v>1488</v>
      </c>
      <c r="V147" s="53" t="s">
        <v>1570</v>
      </c>
      <c r="W147" s="10"/>
      <c r="X147" s="10"/>
      <c r="Y147" s="10"/>
      <c r="Z147" s="27" t="s">
        <v>188</v>
      </c>
      <c r="AA147" s="31" t="s">
        <v>1405</v>
      </c>
      <c r="AB147" s="32" t="s">
        <v>1406</v>
      </c>
      <c r="AC147" s="10"/>
      <c r="AD147" s="4" t="s">
        <v>132</v>
      </c>
      <c r="AE147" s="53" t="s">
        <v>1488</v>
      </c>
      <c r="AF147" s="10"/>
      <c r="AG147" s="4" t="s">
        <v>147</v>
      </c>
      <c r="AH147" s="54" t="s">
        <v>1472</v>
      </c>
      <c r="AI147" s="33"/>
      <c r="AJ147" s="4" t="s">
        <v>102</v>
      </c>
      <c r="AK147" s="30" t="s">
        <v>1412</v>
      </c>
      <c r="AL147" s="10"/>
      <c r="AM147" s="24">
        <v>36</v>
      </c>
      <c r="AN147" s="53" t="s">
        <v>1173</v>
      </c>
      <c r="AO147" s="53" t="s">
        <v>1176</v>
      </c>
      <c r="AP147" s="55" t="s">
        <v>1475</v>
      </c>
      <c r="AQ147" s="8"/>
      <c r="AR147" s="8"/>
      <c r="AS147" s="8"/>
    </row>
    <row r="148" spans="1:45" ht="20.25" customHeight="1">
      <c r="A148" s="4" t="s">
        <v>151</v>
      </c>
      <c r="B148" s="4" t="s">
        <v>257</v>
      </c>
      <c r="C148" s="4" t="s">
        <v>246</v>
      </c>
      <c r="D148" s="4" t="s">
        <v>290</v>
      </c>
      <c r="E148" s="4" t="s">
        <v>291</v>
      </c>
      <c r="F148" s="4" t="s">
        <v>265</v>
      </c>
      <c r="G148" s="10"/>
      <c r="H148" s="4" t="s">
        <v>321</v>
      </c>
      <c r="I148" s="4" t="s">
        <v>255</v>
      </c>
      <c r="J148" s="4" t="s">
        <v>262</v>
      </c>
      <c r="K148" s="10"/>
      <c r="L148" s="4" t="s">
        <v>114</v>
      </c>
      <c r="M148" s="4" t="s">
        <v>427</v>
      </c>
      <c r="N148" s="10"/>
      <c r="O148" s="4" t="s">
        <v>144</v>
      </c>
      <c r="P148" s="4" t="s">
        <v>262</v>
      </c>
      <c r="Q148" s="10"/>
      <c r="R148" s="31" t="s">
        <v>136</v>
      </c>
      <c r="S148" s="31" t="s">
        <v>1571</v>
      </c>
      <c r="T148" s="27" t="s">
        <v>1572</v>
      </c>
      <c r="U148" s="58" t="s">
        <v>1529</v>
      </c>
      <c r="V148" s="58" t="s">
        <v>1573</v>
      </c>
      <c r="W148" s="10"/>
      <c r="X148" s="10"/>
      <c r="Y148" s="10"/>
      <c r="Z148" s="34" t="s">
        <v>188</v>
      </c>
      <c r="AA148" s="35" t="s">
        <v>692</v>
      </c>
      <c r="AB148" s="34"/>
      <c r="AC148" s="10"/>
      <c r="AD148" s="4" t="s">
        <v>136</v>
      </c>
      <c r="AE148" s="53" t="s">
        <v>1473</v>
      </c>
      <c r="AF148" s="10"/>
      <c r="AG148" s="4" t="s">
        <v>151</v>
      </c>
      <c r="AH148" s="54" t="s">
        <v>1472</v>
      </c>
      <c r="AI148" s="33"/>
      <c r="AJ148" s="4" t="s">
        <v>102</v>
      </c>
      <c r="AK148" s="30" t="s">
        <v>1406</v>
      </c>
      <c r="AL148" s="10"/>
      <c r="AM148" s="24">
        <v>37</v>
      </c>
      <c r="AN148" s="53" t="s">
        <v>1195</v>
      </c>
      <c r="AO148" s="53" t="s">
        <v>1198</v>
      </c>
      <c r="AP148" s="53" t="s">
        <v>1494</v>
      </c>
      <c r="AQ148" s="8"/>
      <c r="AR148" s="8"/>
      <c r="AS148" s="8"/>
    </row>
    <row r="149" spans="1:45" ht="42" customHeight="1">
      <c r="A149" s="4" t="s">
        <v>155</v>
      </c>
      <c r="B149" s="4" t="s">
        <v>257</v>
      </c>
      <c r="C149" s="4" t="s">
        <v>246</v>
      </c>
      <c r="D149" s="4" t="s">
        <v>514</v>
      </c>
      <c r="E149" s="4" t="s">
        <v>378</v>
      </c>
      <c r="F149" s="4" t="s">
        <v>305</v>
      </c>
      <c r="G149" s="10"/>
      <c r="H149" s="4" t="s">
        <v>321</v>
      </c>
      <c r="I149" s="4" t="s">
        <v>255</v>
      </c>
      <c r="J149" s="4" t="s">
        <v>262</v>
      </c>
      <c r="K149" s="10"/>
      <c r="L149" s="4" t="s">
        <v>119</v>
      </c>
      <c r="M149" s="4" t="s">
        <v>386</v>
      </c>
      <c r="N149" s="10"/>
      <c r="O149" s="4" t="s">
        <v>147</v>
      </c>
      <c r="P149" s="4" t="s">
        <v>262</v>
      </c>
      <c r="Q149" s="10"/>
      <c r="R149" s="35" t="s">
        <v>136</v>
      </c>
      <c r="S149" s="35" t="s">
        <v>1574</v>
      </c>
      <c r="T149" s="34" t="s">
        <v>1472</v>
      </c>
      <c r="U149" s="59" t="s">
        <v>1476</v>
      </c>
      <c r="V149" s="59" t="s">
        <v>1575</v>
      </c>
      <c r="W149" s="10"/>
      <c r="X149" s="10"/>
      <c r="Y149" s="10"/>
      <c r="Z149" s="10"/>
      <c r="AA149" s="10"/>
      <c r="AB149" s="10"/>
      <c r="AC149" s="10"/>
      <c r="AD149" s="4" t="s">
        <v>136</v>
      </c>
      <c r="AE149" s="53" t="s">
        <v>1476</v>
      </c>
      <c r="AF149" s="10"/>
      <c r="AG149" s="4" t="s">
        <v>155</v>
      </c>
      <c r="AH149" s="54" t="s">
        <v>1472</v>
      </c>
      <c r="AI149" s="33"/>
      <c r="AJ149" s="4" t="s">
        <v>106</v>
      </c>
      <c r="AK149" s="30" t="s">
        <v>1458</v>
      </c>
      <c r="AL149" s="10"/>
      <c r="AM149" s="24">
        <v>38</v>
      </c>
      <c r="AN149" s="55" t="s">
        <v>1218</v>
      </c>
      <c r="AO149" s="53" t="s">
        <v>1221</v>
      </c>
      <c r="AP149" s="53" t="s">
        <v>1475</v>
      </c>
      <c r="AQ149" s="8"/>
      <c r="AR149" s="8"/>
      <c r="AS149" s="8"/>
    </row>
    <row r="150" spans="1:45" ht="21" customHeight="1">
      <c r="A150" s="4" t="s">
        <v>159</v>
      </c>
      <c r="B150" s="4" t="s">
        <v>257</v>
      </c>
      <c r="C150" s="4" t="s">
        <v>317</v>
      </c>
      <c r="D150" s="4" t="s">
        <v>514</v>
      </c>
      <c r="E150" s="4" t="s">
        <v>515</v>
      </c>
      <c r="F150" s="4" t="s">
        <v>262</v>
      </c>
      <c r="G150" s="10"/>
      <c r="H150" s="4" t="s">
        <v>321</v>
      </c>
      <c r="I150" s="4" t="s">
        <v>379</v>
      </c>
      <c r="J150" s="4" t="s">
        <v>262</v>
      </c>
      <c r="K150" s="10"/>
      <c r="L150" s="4" t="s">
        <v>124</v>
      </c>
      <c r="M150" s="4" t="s">
        <v>1576</v>
      </c>
      <c r="N150" s="10"/>
      <c r="O150" s="4" t="s">
        <v>151</v>
      </c>
      <c r="P150" s="4" t="s">
        <v>262</v>
      </c>
      <c r="Q150" s="10"/>
      <c r="R150" s="4" t="s">
        <v>140</v>
      </c>
      <c r="S150" s="4" t="s">
        <v>1577</v>
      </c>
      <c r="T150" s="4" t="s">
        <v>1472</v>
      </c>
      <c r="U150" s="53" t="s">
        <v>1473</v>
      </c>
      <c r="V150" s="53" t="s">
        <v>1534</v>
      </c>
      <c r="W150" s="10"/>
      <c r="X150" s="10"/>
      <c r="Y150" s="10"/>
      <c r="Z150" s="10"/>
      <c r="AA150" s="10"/>
      <c r="AB150" s="10"/>
      <c r="AC150" s="10"/>
      <c r="AD150" s="4" t="s">
        <v>140</v>
      </c>
      <c r="AE150" s="53" t="s">
        <v>1473</v>
      </c>
      <c r="AF150" s="10"/>
      <c r="AG150" s="4" t="s">
        <v>159</v>
      </c>
      <c r="AH150" s="54" t="s">
        <v>1472</v>
      </c>
      <c r="AI150" s="33"/>
      <c r="AJ150" s="4" t="s">
        <v>106</v>
      </c>
      <c r="AK150" s="30" t="s">
        <v>1424</v>
      </c>
      <c r="AL150" s="10"/>
      <c r="AM150" s="64">
        <v>39</v>
      </c>
      <c r="AN150" s="55" t="s">
        <v>1241</v>
      </c>
      <c r="AO150" s="53" t="s">
        <v>1244</v>
      </c>
      <c r="AP150" s="55" t="s">
        <v>1475</v>
      </c>
      <c r="AQ150" s="8"/>
      <c r="AR150" s="8"/>
      <c r="AS150" s="8"/>
    </row>
    <row r="151" spans="1:45" ht="17.25" customHeight="1">
      <c r="A151" s="4" t="s">
        <v>163</v>
      </c>
      <c r="B151" s="4" t="s">
        <v>257</v>
      </c>
      <c r="C151" s="4" t="s">
        <v>317</v>
      </c>
      <c r="D151" s="4" t="s">
        <v>290</v>
      </c>
      <c r="E151" s="4" t="s">
        <v>378</v>
      </c>
      <c r="F151" s="4" t="s">
        <v>305</v>
      </c>
      <c r="G151" s="10"/>
      <c r="H151" s="4" t="s">
        <v>377</v>
      </c>
      <c r="I151" s="4" t="s">
        <v>255</v>
      </c>
      <c r="J151" s="4" t="s">
        <v>262</v>
      </c>
      <c r="K151" s="10"/>
      <c r="L151" s="4" t="s">
        <v>129</v>
      </c>
      <c r="M151" s="4" t="s">
        <v>1578</v>
      </c>
      <c r="N151" s="10"/>
      <c r="O151" s="4" t="s">
        <v>155</v>
      </c>
      <c r="P151" s="4" t="s">
        <v>262</v>
      </c>
      <c r="Q151" s="10"/>
      <c r="R151" s="4" t="s">
        <v>144</v>
      </c>
      <c r="S151" s="4" t="s">
        <v>1579</v>
      </c>
      <c r="T151" s="4" t="s">
        <v>1472</v>
      </c>
      <c r="U151" s="53" t="s">
        <v>1580</v>
      </c>
      <c r="V151" s="55" t="s">
        <v>1156</v>
      </c>
      <c r="W151" s="10"/>
      <c r="X151" s="10"/>
      <c r="Y151" s="10"/>
      <c r="Z151" s="10"/>
      <c r="AA151" s="10"/>
      <c r="AB151" s="10"/>
      <c r="AC151" s="10"/>
      <c r="AD151" s="4" t="s">
        <v>144</v>
      </c>
      <c r="AE151" s="53" t="s">
        <v>1476</v>
      </c>
      <c r="AF151" s="10"/>
      <c r="AG151" s="4" t="s">
        <v>163</v>
      </c>
      <c r="AH151" s="54" t="s">
        <v>1472</v>
      </c>
      <c r="AI151" s="33"/>
      <c r="AJ151" s="4" t="s">
        <v>110</v>
      </c>
      <c r="AK151" s="30" t="s">
        <v>1406</v>
      </c>
      <c r="AL151" s="10"/>
      <c r="AM151" s="24">
        <v>40</v>
      </c>
      <c r="AN151" s="53" t="s">
        <v>1263</v>
      </c>
      <c r="AO151" s="53" t="s">
        <v>1266</v>
      </c>
      <c r="AP151" s="53" t="s">
        <v>1475</v>
      </c>
      <c r="AQ151" s="8"/>
      <c r="AR151" s="8"/>
      <c r="AS151" s="8"/>
    </row>
    <row r="152" spans="1:45" ht="16.5" customHeight="1">
      <c r="A152" s="4" t="s">
        <v>168</v>
      </c>
      <c r="B152" s="4" t="s">
        <v>257</v>
      </c>
      <c r="C152" s="4" t="s">
        <v>317</v>
      </c>
      <c r="D152" s="4" t="s">
        <v>290</v>
      </c>
      <c r="E152" s="4" t="s">
        <v>291</v>
      </c>
      <c r="F152" s="4" t="s">
        <v>265</v>
      </c>
      <c r="G152" s="10"/>
      <c r="H152" s="4" t="s">
        <v>252</v>
      </c>
      <c r="I152" s="4" t="s">
        <v>255</v>
      </c>
      <c r="J152" s="4" t="s">
        <v>262</v>
      </c>
      <c r="K152" s="10"/>
      <c r="L152" s="4" t="s">
        <v>132</v>
      </c>
      <c r="M152" s="4" t="s">
        <v>293</v>
      </c>
      <c r="N152" s="10"/>
      <c r="O152" s="4" t="s">
        <v>159</v>
      </c>
      <c r="P152" s="4" t="s">
        <v>262</v>
      </c>
      <c r="Q152" s="10"/>
      <c r="R152" s="4" t="s">
        <v>147</v>
      </c>
      <c r="S152" s="4" t="s">
        <v>1581</v>
      </c>
      <c r="T152" s="4" t="s">
        <v>1472</v>
      </c>
      <c r="U152" s="53" t="s">
        <v>1473</v>
      </c>
      <c r="V152" s="53" t="s">
        <v>1582</v>
      </c>
      <c r="W152" s="10"/>
      <c r="X152" s="10"/>
      <c r="Y152" s="10"/>
      <c r="Z152" s="10"/>
      <c r="AA152" s="10"/>
      <c r="AB152" s="10"/>
      <c r="AC152" s="10"/>
      <c r="AD152" s="4" t="s">
        <v>144</v>
      </c>
      <c r="AE152" s="53" t="s">
        <v>1488</v>
      </c>
      <c r="AF152" s="10"/>
      <c r="AG152" s="4" t="s">
        <v>168</v>
      </c>
      <c r="AH152" s="54" t="s">
        <v>1472</v>
      </c>
      <c r="AI152" s="33"/>
      <c r="AJ152" s="4" t="s">
        <v>114</v>
      </c>
      <c r="AK152" s="30" t="s">
        <v>1412</v>
      </c>
      <c r="AL152" s="10"/>
      <c r="AM152" s="24">
        <v>41</v>
      </c>
      <c r="AN152" s="53" t="s">
        <v>1280</v>
      </c>
      <c r="AO152" s="53" t="s">
        <v>1283</v>
      </c>
      <c r="AP152" s="53" t="s">
        <v>1513</v>
      </c>
      <c r="AQ152" s="8"/>
      <c r="AR152" s="8"/>
      <c r="AS152" s="8"/>
    </row>
    <row r="153" spans="1:45" ht="16.5" customHeight="1">
      <c r="A153" s="4" t="s">
        <v>172</v>
      </c>
      <c r="B153" s="4" t="s">
        <v>257</v>
      </c>
      <c r="C153" s="4" t="s">
        <v>317</v>
      </c>
      <c r="D153" s="4" t="s">
        <v>290</v>
      </c>
      <c r="E153" s="4" t="s">
        <v>291</v>
      </c>
      <c r="F153" s="4" t="s">
        <v>305</v>
      </c>
      <c r="G153" s="10"/>
      <c r="H153" s="4" t="s">
        <v>252</v>
      </c>
      <c r="I153" s="4" t="s">
        <v>255</v>
      </c>
      <c r="J153" s="4" t="s">
        <v>262</v>
      </c>
      <c r="K153" s="10"/>
      <c r="L153" s="4" t="s">
        <v>136</v>
      </c>
      <c r="M153" s="4" t="s">
        <v>386</v>
      </c>
      <c r="N153" s="10"/>
      <c r="O153" s="4" t="s">
        <v>163</v>
      </c>
      <c r="P153" s="4" t="s">
        <v>262</v>
      </c>
      <c r="Q153" s="10"/>
      <c r="R153" s="4" t="s">
        <v>151</v>
      </c>
      <c r="S153" s="4" t="s">
        <v>1583</v>
      </c>
      <c r="T153" s="4" t="s">
        <v>1472</v>
      </c>
      <c r="U153" s="53" t="s">
        <v>1473</v>
      </c>
      <c r="V153" s="53" t="s">
        <v>1202</v>
      </c>
      <c r="W153" s="10"/>
      <c r="X153" s="10"/>
      <c r="Y153" s="10"/>
      <c r="Z153" s="10"/>
      <c r="AA153" s="10"/>
      <c r="AB153" s="10"/>
      <c r="AC153" s="10"/>
      <c r="AD153" s="4" t="s">
        <v>144</v>
      </c>
      <c r="AE153" s="53" t="s">
        <v>1473</v>
      </c>
      <c r="AF153" s="10"/>
      <c r="AG153" s="4" t="s">
        <v>172</v>
      </c>
      <c r="AH153" s="54" t="s">
        <v>1472</v>
      </c>
      <c r="AI153" s="33"/>
      <c r="AJ153" s="4" t="s">
        <v>114</v>
      </c>
      <c r="AK153" s="30" t="s">
        <v>1406</v>
      </c>
      <c r="AL153" s="10"/>
      <c r="AM153" s="24">
        <v>42</v>
      </c>
      <c r="AN153" s="53" t="s">
        <v>1298</v>
      </c>
      <c r="AO153" s="53" t="s">
        <v>1301</v>
      </c>
      <c r="AP153" s="53" t="s">
        <v>1513</v>
      </c>
      <c r="AQ153" s="8"/>
      <c r="AR153" s="8"/>
      <c r="AS153" s="8"/>
    </row>
    <row r="154" spans="1:45" ht="18" customHeight="1">
      <c r="A154" s="4" t="s">
        <v>176</v>
      </c>
      <c r="B154" s="4" t="s">
        <v>257</v>
      </c>
      <c r="C154" s="4" t="s">
        <v>317</v>
      </c>
      <c r="D154" s="4" t="s">
        <v>290</v>
      </c>
      <c r="E154" s="4" t="s">
        <v>291</v>
      </c>
      <c r="F154" s="4" t="s">
        <v>305</v>
      </c>
      <c r="G154" s="10"/>
      <c r="H154" s="4" t="s">
        <v>321</v>
      </c>
      <c r="I154" s="4" t="s">
        <v>255</v>
      </c>
      <c r="J154" s="4" t="s">
        <v>262</v>
      </c>
      <c r="K154" s="10"/>
      <c r="L154" s="4" t="s">
        <v>140</v>
      </c>
      <c r="M154" s="4" t="s">
        <v>1584</v>
      </c>
      <c r="N154" s="10"/>
      <c r="O154" s="4" t="s">
        <v>168</v>
      </c>
      <c r="P154" s="4" t="s">
        <v>262</v>
      </c>
      <c r="Q154" s="10"/>
      <c r="R154" s="4" t="s">
        <v>155</v>
      </c>
      <c r="S154" s="4" t="s">
        <v>1585</v>
      </c>
      <c r="T154" s="4" t="s">
        <v>1472</v>
      </c>
      <c r="U154" s="53" t="s">
        <v>1586</v>
      </c>
      <c r="V154" s="53" t="s">
        <v>1505</v>
      </c>
      <c r="W154" s="10"/>
      <c r="X154" s="10"/>
      <c r="Y154" s="10"/>
      <c r="Z154" s="10"/>
      <c r="AA154" s="10"/>
      <c r="AB154" s="10"/>
      <c r="AC154" s="10"/>
      <c r="AD154" s="57" t="s">
        <v>144</v>
      </c>
      <c r="AE154" s="55" t="s">
        <v>1507</v>
      </c>
      <c r="AF154" s="10"/>
      <c r="AG154" s="4" t="s">
        <v>176</v>
      </c>
      <c r="AH154" s="54" t="s">
        <v>1472</v>
      </c>
      <c r="AI154" s="33"/>
      <c r="AJ154" s="4" t="s">
        <v>119</v>
      </c>
      <c r="AK154" s="30" t="s">
        <v>1412</v>
      </c>
      <c r="AL154" s="10"/>
      <c r="AM154" s="24">
        <v>43</v>
      </c>
      <c r="AN154" s="53" t="s">
        <v>1316</v>
      </c>
      <c r="AO154" s="53" t="s">
        <v>1319</v>
      </c>
      <c r="AP154" s="53" t="s">
        <v>1475</v>
      </c>
      <c r="AQ154" s="10"/>
      <c r="AR154" s="8"/>
      <c r="AS154" s="8"/>
    </row>
    <row r="155" spans="1:45" ht="16.5" customHeight="1">
      <c r="A155" s="4" t="s">
        <v>180</v>
      </c>
      <c r="B155" s="4" t="s">
        <v>257</v>
      </c>
      <c r="C155" s="4" t="s">
        <v>317</v>
      </c>
      <c r="D155" s="4" t="s">
        <v>290</v>
      </c>
      <c r="E155" s="4" t="s">
        <v>378</v>
      </c>
      <c r="F155" s="4" t="s">
        <v>265</v>
      </c>
      <c r="G155" s="10"/>
      <c r="H155" s="4" t="s">
        <v>321</v>
      </c>
      <c r="I155" s="4" t="s">
        <v>255</v>
      </c>
      <c r="J155" s="4" t="s">
        <v>262</v>
      </c>
      <c r="K155" s="10"/>
      <c r="L155" s="4" t="s">
        <v>144</v>
      </c>
      <c r="M155" s="4" t="s">
        <v>1587</v>
      </c>
      <c r="N155" s="10"/>
      <c r="O155" s="4" t="s">
        <v>172</v>
      </c>
      <c r="P155" s="4" t="s">
        <v>262</v>
      </c>
      <c r="Q155" s="10"/>
      <c r="R155" s="4" t="s">
        <v>159</v>
      </c>
      <c r="S155" s="4" t="s">
        <v>1588</v>
      </c>
      <c r="T155" s="4" t="s">
        <v>1472</v>
      </c>
      <c r="U155" s="53" t="s">
        <v>1589</v>
      </c>
      <c r="V155" s="53" t="s">
        <v>1590</v>
      </c>
      <c r="W155" s="10"/>
      <c r="X155" s="10"/>
      <c r="Y155" s="10"/>
      <c r="Z155" s="10"/>
      <c r="AA155" s="10"/>
      <c r="AB155" s="10"/>
      <c r="AC155" s="10"/>
      <c r="AD155" s="4" t="s">
        <v>144</v>
      </c>
      <c r="AE155" s="53" t="s">
        <v>1514</v>
      </c>
      <c r="AF155" s="10"/>
      <c r="AG155" s="4" t="s">
        <v>180</v>
      </c>
      <c r="AH155" s="54" t="s">
        <v>1472</v>
      </c>
      <c r="AI155" s="33"/>
      <c r="AJ155" s="4" t="s">
        <v>124</v>
      </c>
      <c r="AK155" s="30" t="s">
        <v>1406</v>
      </c>
      <c r="AL155" s="10"/>
      <c r="AM155" s="24">
        <v>44</v>
      </c>
      <c r="AN155" s="53" t="s">
        <v>1335</v>
      </c>
      <c r="AO155" s="53" t="s">
        <v>1338</v>
      </c>
      <c r="AP155" s="53" t="s">
        <v>1513</v>
      </c>
      <c r="AQ155" s="10"/>
      <c r="AR155" s="8"/>
      <c r="AS155" s="8"/>
    </row>
    <row r="156" spans="1:45" ht="16.5" customHeight="1">
      <c r="A156" s="4" t="s">
        <v>184</v>
      </c>
      <c r="B156" s="4" t="s">
        <v>257</v>
      </c>
      <c r="C156" s="4" t="s">
        <v>317</v>
      </c>
      <c r="D156" s="4" t="s">
        <v>514</v>
      </c>
      <c r="E156" s="4" t="s">
        <v>515</v>
      </c>
      <c r="F156" s="4" t="s">
        <v>305</v>
      </c>
      <c r="G156" s="10"/>
      <c r="H156" s="4" t="s">
        <v>321</v>
      </c>
      <c r="I156" s="4" t="s">
        <v>255</v>
      </c>
      <c r="J156" s="4" t="s">
        <v>262</v>
      </c>
      <c r="K156" s="10"/>
      <c r="L156" s="4" t="s">
        <v>144</v>
      </c>
      <c r="M156" s="4" t="s">
        <v>293</v>
      </c>
      <c r="N156" s="10"/>
      <c r="O156" s="4" t="s">
        <v>176</v>
      </c>
      <c r="P156" s="4" t="s">
        <v>262</v>
      </c>
      <c r="Q156" s="10"/>
      <c r="R156" s="4" t="s">
        <v>163</v>
      </c>
      <c r="S156" s="4" t="s">
        <v>1264</v>
      </c>
      <c r="T156" s="4" t="s">
        <v>1591</v>
      </c>
      <c r="U156" s="53" t="s">
        <v>1473</v>
      </c>
      <c r="V156" s="53" t="s">
        <v>1505</v>
      </c>
      <c r="W156" s="10"/>
      <c r="X156" s="10"/>
      <c r="Y156" s="10"/>
      <c r="Z156" s="10"/>
      <c r="AA156" s="10"/>
      <c r="AB156" s="10"/>
      <c r="AC156" s="10"/>
      <c r="AD156" s="4" t="s">
        <v>147</v>
      </c>
      <c r="AE156" s="53" t="s">
        <v>1473</v>
      </c>
      <c r="AF156" s="10"/>
      <c r="AG156" s="4" t="s">
        <v>184</v>
      </c>
      <c r="AH156" s="54" t="s">
        <v>1486</v>
      </c>
      <c r="AI156" s="33"/>
      <c r="AJ156" s="4" t="s">
        <v>129</v>
      </c>
      <c r="AK156" s="30" t="s">
        <v>1406</v>
      </c>
      <c r="AL156" s="10"/>
      <c r="AM156" s="24">
        <v>45</v>
      </c>
      <c r="AN156" s="53" t="s">
        <v>1356</v>
      </c>
      <c r="AO156" s="53" t="s">
        <v>1359</v>
      </c>
      <c r="AP156" s="53" t="s">
        <v>1513</v>
      </c>
      <c r="AQ156" s="10"/>
      <c r="AR156" s="8"/>
      <c r="AS156" s="8"/>
    </row>
    <row r="157" spans="1:45" ht="16.5" customHeight="1">
      <c r="A157" s="4" t="s">
        <v>188</v>
      </c>
      <c r="B157" s="4" t="s">
        <v>257</v>
      </c>
      <c r="C157" s="4" t="s">
        <v>317</v>
      </c>
      <c r="D157" s="4" t="s">
        <v>290</v>
      </c>
      <c r="E157" s="4" t="s">
        <v>291</v>
      </c>
      <c r="F157" s="4" t="s">
        <v>305</v>
      </c>
      <c r="G157" s="10"/>
      <c r="H157" s="4" t="s">
        <v>321</v>
      </c>
      <c r="I157" s="4" t="s">
        <v>255</v>
      </c>
      <c r="J157" s="4" t="s">
        <v>262</v>
      </c>
      <c r="K157" s="10"/>
      <c r="L157" s="4" t="s">
        <v>147</v>
      </c>
      <c r="M157" s="4" t="s">
        <v>1509</v>
      </c>
      <c r="N157" s="10"/>
      <c r="O157" s="4" t="s">
        <v>180</v>
      </c>
      <c r="P157" s="4" t="s">
        <v>262</v>
      </c>
      <c r="Q157" s="10"/>
      <c r="R157" s="4" t="s">
        <v>168</v>
      </c>
      <c r="S157" s="4" t="s">
        <v>1281</v>
      </c>
      <c r="T157" s="4" t="s">
        <v>1592</v>
      </c>
      <c r="U157" s="53" t="s">
        <v>1473</v>
      </c>
      <c r="V157" s="53" t="s">
        <v>1593</v>
      </c>
      <c r="W157" s="10"/>
      <c r="X157" s="10"/>
      <c r="Y157" s="10"/>
      <c r="Z157" s="10"/>
      <c r="AA157" s="10"/>
      <c r="AB157" s="10"/>
      <c r="AC157" s="10"/>
      <c r="AD157" s="4" t="s">
        <v>151</v>
      </c>
      <c r="AE157" s="53" t="s">
        <v>1473</v>
      </c>
      <c r="AF157" s="10"/>
      <c r="AG157" s="4" t="s">
        <v>188</v>
      </c>
      <c r="AH157" s="54" t="s">
        <v>1472</v>
      </c>
      <c r="AI157" s="33"/>
      <c r="AJ157" s="4" t="s">
        <v>129</v>
      </c>
      <c r="AK157" s="30" t="s">
        <v>1424</v>
      </c>
      <c r="AL157" s="10"/>
      <c r="AM157" s="24">
        <v>46</v>
      </c>
      <c r="AN157" s="53" t="s">
        <v>1380</v>
      </c>
      <c r="AO157" s="53" t="s">
        <v>1383</v>
      </c>
      <c r="AP157" s="53" t="s">
        <v>1513</v>
      </c>
      <c r="AQ157" s="10"/>
      <c r="AR157" s="8"/>
      <c r="AS157" s="8"/>
    </row>
    <row r="158" spans="1:45" ht="17.25" customHeight="1">
      <c r="A158" s="10"/>
      <c r="B158" s="10"/>
      <c r="C158" s="10"/>
      <c r="D158" s="10"/>
      <c r="E158" s="10"/>
      <c r="F158" s="10"/>
      <c r="G158" s="10"/>
      <c r="H158" s="10"/>
      <c r="I158" s="10"/>
      <c r="J158" s="10"/>
      <c r="K158" s="10"/>
      <c r="L158" s="4" t="s">
        <v>151</v>
      </c>
      <c r="M158" s="4" t="s">
        <v>496</v>
      </c>
      <c r="N158" s="10"/>
      <c r="O158" s="4" t="s">
        <v>184</v>
      </c>
      <c r="P158" s="4" t="s">
        <v>1562</v>
      </c>
      <c r="Q158" s="10"/>
      <c r="R158" s="4" t="s">
        <v>172</v>
      </c>
      <c r="S158" s="4" t="s">
        <v>1299</v>
      </c>
      <c r="T158" s="4" t="s">
        <v>1594</v>
      </c>
      <c r="U158" s="53" t="s">
        <v>1473</v>
      </c>
      <c r="V158" s="53" t="s">
        <v>1595</v>
      </c>
      <c r="W158" s="10"/>
      <c r="X158" s="10"/>
      <c r="Y158" s="10"/>
      <c r="Z158" s="10"/>
      <c r="AA158" s="10"/>
      <c r="AB158" s="10"/>
      <c r="AC158" s="10"/>
      <c r="AD158" s="4" t="s">
        <v>155</v>
      </c>
      <c r="AE158" s="53" t="s">
        <v>1473</v>
      </c>
      <c r="AF158" s="10"/>
      <c r="AG158" s="10"/>
      <c r="AH158" s="10"/>
      <c r="AI158" s="10"/>
      <c r="AJ158" s="34" t="s">
        <v>129</v>
      </c>
      <c r="AK158" s="34" t="s">
        <v>1462</v>
      </c>
      <c r="AL158" s="10"/>
      <c r="AM158" s="10"/>
      <c r="AN158" s="10"/>
      <c r="AO158" s="10"/>
      <c r="AP158" s="10"/>
      <c r="AQ158" s="10"/>
      <c r="AR158" s="10"/>
      <c r="AS158" s="10"/>
    </row>
    <row r="159" spans="1:45" ht="16.5" customHeight="1">
      <c r="A159" s="10"/>
      <c r="B159" s="10"/>
      <c r="C159" s="10"/>
      <c r="D159" s="10"/>
      <c r="E159" s="10"/>
      <c r="F159" s="10"/>
      <c r="G159" s="10"/>
      <c r="H159" s="10"/>
      <c r="I159" s="10"/>
      <c r="J159" s="10"/>
      <c r="K159" s="10"/>
      <c r="L159" s="4" t="s">
        <v>151</v>
      </c>
      <c r="M159" s="4" t="s">
        <v>293</v>
      </c>
      <c r="N159" s="10"/>
      <c r="O159" s="4" t="s">
        <v>188</v>
      </c>
      <c r="P159" s="4" t="s">
        <v>262</v>
      </c>
      <c r="Q159" s="10"/>
      <c r="R159" s="4" t="s">
        <v>176</v>
      </c>
      <c r="S159" s="4" t="s">
        <v>1317</v>
      </c>
      <c r="T159" s="4" t="s">
        <v>1594</v>
      </c>
      <c r="U159" s="53" t="s">
        <v>1473</v>
      </c>
      <c r="V159" s="53" t="s">
        <v>1570</v>
      </c>
      <c r="W159" s="10"/>
      <c r="X159" s="10"/>
      <c r="Y159" s="10"/>
      <c r="Z159" s="10"/>
      <c r="AA159" s="10"/>
      <c r="AB159" s="10"/>
      <c r="AC159" s="10"/>
      <c r="AD159" s="4" t="s">
        <v>155</v>
      </c>
      <c r="AE159" s="53" t="s">
        <v>1502</v>
      </c>
      <c r="AF159" s="10"/>
      <c r="AG159" s="10"/>
      <c r="AH159" s="10"/>
      <c r="AI159" s="10"/>
      <c r="AJ159" s="4" t="s">
        <v>132</v>
      </c>
      <c r="AK159" s="30" t="s">
        <v>1406</v>
      </c>
      <c r="AL159" s="10"/>
      <c r="AM159" s="10"/>
      <c r="AN159" s="10"/>
      <c r="AO159" s="10"/>
      <c r="AP159" s="10"/>
      <c r="AQ159" s="10"/>
      <c r="AR159" s="10"/>
      <c r="AS159" s="10"/>
    </row>
    <row r="160" spans="1:45" ht="27" customHeight="1">
      <c r="A160" s="10"/>
      <c r="B160" s="10"/>
      <c r="C160" s="10"/>
      <c r="D160" s="10"/>
      <c r="E160" s="10"/>
      <c r="F160" s="10"/>
      <c r="G160" s="10"/>
      <c r="H160" s="10"/>
      <c r="I160" s="10"/>
      <c r="J160" s="10"/>
      <c r="K160" s="10"/>
      <c r="L160" s="4" t="s">
        <v>155</v>
      </c>
      <c r="M160" s="4" t="s">
        <v>1596</v>
      </c>
      <c r="N160" s="10"/>
      <c r="O160" s="10"/>
      <c r="P160" s="10"/>
      <c r="Q160" s="10"/>
      <c r="R160" s="27" t="s">
        <v>180</v>
      </c>
      <c r="S160" s="27" t="s">
        <v>1336</v>
      </c>
      <c r="T160" s="27" t="s">
        <v>1597</v>
      </c>
      <c r="U160" s="58" t="s">
        <v>1473</v>
      </c>
      <c r="V160" s="53" t="s">
        <v>1598</v>
      </c>
      <c r="W160" s="10"/>
      <c r="X160" s="10"/>
      <c r="Y160" s="10"/>
      <c r="Z160" s="10"/>
      <c r="AA160" s="10"/>
      <c r="AB160" s="10"/>
      <c r="AC160" s="10"/>
      <c r="AD160" s="4" t="s">
        <v>159</v>
      </c>
      <c r="AE160" s="53" t="s">
        <v>1476</v>
      </c>
      <c r="AF160" s="10"/>
      <c r="AG160" s="10"/>
      <c r="AH160" s="10"/>
      <c r="AI160" s="10"/>
      <c r="AJ160" s="4" t="s">
        <v>136</v>
      </c>
      <c r="AK160" s="30" t="s">
        <v>1412</v>
      </c>
      <c r="AL160" s="10"/>
      <c r="AM160" s="10"/>
      <c r="AN160" s="10"/>
      <c r="AO160" s="10"/>
      <c r="AP160" s="10"/>
      <c r="AQ160" s="10"/>
      <c r="AR160" s="10"/>
      <c r="AS160" s="10"/>
    </row>
    <row r="161" spans="1:45" ht="18.75" customHeight="1">
      <c r="A161" s="10"/>
      <c r="B161" s="10"/>
      <c r="C161" s="10"/>
      <c r="D161" s="10"/>
      <c r="E161" s="10"/>
      <c r="F161" s="10"/>
      <c r="G161" s="10"/>
      <c r="H161" s="10"/>
      <c r="I161" s="10"/>
      <c r="J161" s="10"/>
      <c r="K161" s="10"/>
      <c r="L161" s="4" t="s">
        <v>159</v>
      </c>
      <c r="M161" s="4" t="s">
        <v>293</v>
      </c>
      <c r="N161" s="10"/>
      <c r="O161" s="10"/>
      <c r="P161" s="10"/>
      <c r="Q161" s="10"/>
      <c r="R161" s="31" t="s">
        <v>184</v>
      </c>
      <c r="S161" s="31" t="s">
        <v>1599</v>
      </c>
      <c r="T161" s="31" t="s">
        <v>1600</v>
      </c>
      <c r="U161" s="58" t="s">
        <v>1473</v>
      </c>
      <c r="V161" s="65" t="s">
        <v>1601</v>
      </c>
      <c r="W161" s="10"/>
      <c r="X161" s="10"/>
      <c r="Y161" s="10"/>
      <c r="Z161" s="10"/>
      <c r="AA161" s="10"/>
      <c r="AB161" s="10"/>
      <c r="AC161" s="10"/>
      <c r="AD161" s="4" t="s">
        <v>159</v>
      </c>
      <c r="AE161" s="53" t="s">
        <v>1502</v>
      </c>
      <c r="AF161" s="10"/>
      <c r="AG161" s="10"/>
      <c r="AH161" s="10"/>
      <c r="AI161" s="10"/>
      <c r="AJ161" s="4" t="s">
        <v>140</v>
      </c>
      <c r="AK161" s="30" t="s">
        <v>1424</v>
      </c>
      <c r="AL161" s="10"/>
      <c r="AM161" s="10"/>
      <c r="AN161" s="10"/>
      <c r="AO161" s="10"/>
      <c r="AP161" s="10"/>
      <c r="AQ161" s="10"/>
      <c r="AR161" s="10"/>
      <c r="AS161" s="10"/>
    </row>
    <row r="162" spans="1:45" ht="17.25" customHeight="1">
      <c r="A162" s="10"/>
      <c r="B162" s="10"/>
      <c r="C162" s="10"/>
      <c r="D162" s="10"/>
      <c r="E162" s="10"/>
      <c r="F162" s="10"/>
      <c r="G162" s="10"/>
      <c r="H162" s="10"/>
      <c r="I162" s="10"/>
      <c r="J162" s="10"/>
      <c r="K162" s="10"/>
      <c r="L162" s="4" t="s">
        <v>163</v>
      </c>
      <c r="M162" s="4" t="s">
        <v>386</v>
      </c>
      <c r="N162" s="10"/>
      <c r="O162" s="10"/>
      <c r="P162" s="10"/>
      <c r="Q162" s="10"/>
      <c r="R162" s="35" t="s">
        <v>184</v>
      </c>
      <c r="S162" s="35" t="s">
        <v>1602</v>
      </c>
      <c r="T162" s="35" t="s">
        <v>1600</v>
      </c>
      <c r="U162" s="59" t="s">
        <v>1473</v>
      </c>
      <c r="V162" s="66"/>
      <c r="W162" s="10"/>
      <c r="X162" s="10"/>
      <c r="Y162" s="10"/>
      <c r="Z162" s="10"/>
      <c r="AA162" s="10"/>
      <c r="AB162" s="10"/>
      <c r="AC162" s="10"/>
      <c r="AD162" s="4" t="s">
        <v>159</v>
      </c>
      <c r="AE162" s="53" t="s">
        <v>1473</v>
      </c>
      <c r="AF162" s="10"/>
      <c r="AG162" s="10"/>
      <c r="AH162" s="10"/>
      <c r="AI162" s="10"/>
      <c r="AJ162" s="4" t="s">
        <v>144</v>
      </c>
      <c r="AK162" s="30" t="s">
        <v>1406</v>
      </c>
      <c r="AL162" s="10"/>
      <c r="AM162" s="10"/>
      <c r="AN162" s="10"/>
      <c r="AO162" s="10"/>
      <c r="AP162" s="10"/>
      <c r="AQ162" s="10"/>
      <c r="AR162" s="10"/>
      <c r="AS162" s="10"/>
    </row>
    <row r="163" spans="1:45" ht="17.25" customHeight="1">
      <c r="A163" s="10"/>
      <c r="B163" s="10"/>
      <c r="C163" s="10"/>
      <c r="D163" s="10"/>
      <c r="E163" s="10"/>
      <c r="F163" s="10"/>
      <c r="G163" s="10"/>
      <c r="H163" s="10"/>
      <c r="I163" s="10"/>
      <c r="J163" s="10"/>
      <c r="K163" s="10"/>
      <c r="L163" s="4" t="s">
        <v>168</v>
      </c>
      <c r="M163" s="4" t="s">
        <v>1385</v>
      </c>
      <c r="N163" s="10"/>
      <c r="O163" s="10"/>
      <c r="P163" s="10"/>
      <c r="Q163" s="10"/>
      <c r="R163" s="34" t="s">
        <v>188</v>
      </c>
      <c r="S163" s="34" t="s">
        <v>1603</v>
      </c>
      <c r="T163" s="34" t="s">
        <v>1472</v>
      </c>
      <c r="U163" s="59" t="s">
        <v>1473</v>
      </c>
      <c r="V163" s="53" t="s">
        <v>1604</v>
      </c>
      <c r="W163" s="10"/>
      <c r="X163" s="10"/>
      <c r="Y163" s="10"/>
      <c r="Z163" s="10"/>
      <c r="AA163" s="10"/>
      <c r="AB163" s="10"/>
      <c r="AC163" s="10"/>
      <c r="AD163" s="4" t="s">
        <v>163</v>
      </c>
      <c r="AE163" s="53" t="s">
        <v>1473</v>
      </c>
      <c r="AF163" s="10"/>
      <c r="AG163" s="10"/>
      <c r="AH163" s="10"/>
      <c r="AI163" s="10"/>
      <c r="AJ163" s="4" t="s">
        <v>144</v>
      </c>
      <c r="AK163" s="30" t="s">
        <v>1437</v>
      </c>
      <c r="AL163" s="10"/>
      <c r="AM163" s="10"/>
      <c r="AN163" s="10"/>
      <c r="AO163" s="10"/>
      <c r="AP163" s="10"/>
      <c r="AQ163" s="10"/>
      <c r="AR163" s="10"/>
      <c r="AS163" s="10"/>
    </row>
    <row r="164" spans="1:45" ht="17.25" customHeight="1">
      <c r="A164" s="10"/>
      <c r="B164" s="10"/>
      <c r="C164" s="10"/>
      <c r="D164" s="10"/>
      <c r="E164" s="10"/>
      <c r="F164" s="10"/>
      <c r="G164" s="10"/>
      <c r="H164" s="10"/>
      <c r="I164" s="10"/>
      <c r="J164" s="10"/>
      <c r="K164" s="10"/>
      <c r="L164" s="4" t="s">
        <v>168</v>
      </c>
      <c r="M164" s="4" t="s">
        <v>1605</v>
      </c>
      <c r="N164" s="10"/>
      <c r="O164" s="10"/>
      <c r="P164" s="10"/>
      <c r="Q164" s="10"/>
      <c r="R164" s="10"/>
      <c r="S164" s="10"/>
      <c r="T164" s="10"/>
      <c r="U164" s="10"/>
      <c r="V164" s="10"/>
      <c r="W164" s="10"/>
      <c r="X164" s="10"/>
      <c r="Y164" s="10"/>
      <c r="Z164" s="10"/>
      <c r="AA164" s="10"/>
      <c r="AB164" s="10"/>
      <c r="AC164" s="10"/>
      <c r="AD164" s="4" t="s">
        <v>168</v>
      </c>
      <c r="AE164" s="53" t="s">
        <v>1473</v>
      </c>
      <c r="AF164" s="10"/>
      <c r="AG164" s="10"/>
      <c r="AH164" s="10"/>
      <c r="AI164" s="10"/>
      <c r="AJ164" s="4" t="s">
        <v>147</v>
      </c>
      <c r="AK164" s="30" t="s">
        <v>1406</v>
      </c>
      <c r="AL164" s="10"/>
      <c r="AM164" s="10"/>
      <c r="AN164" s="10"/>
      <c r="AO164" s="10"/>
      <c r="AP164" s="10"/>
      <c r="AQ164" s="10"/>
      <c r="AR164" s="10"/>
      <c r="AS164" s="10"/>
    </row>
    <row r="165" spans="1:45" ht="17.25" customHeight="1">
      <c r="A165" s="10"/>
      <c r="B165" s="10"/>
      <c r="C165" s="10"/>
      <c r="D165" s="10"/>
      <c r="E165" s="10"/>
      <c r="F165" s="10"/>
      <c r="G165" s="10"/>
      <c r="H165" s="10"/>
      <c r="I165" s="10"/>
      <c r="J165" s="10"/>
      <c r="K165" s="10"/>
      <c r="L165" s="4" t="s">
        <v>168</v>
      </c>
      <c r="M165" s="4" t="s">
        <v>452</v>
      </c>
      <c r="N165" s="10"/>
      <c r="O165" s="10"/>
      <c r="P165" s="10"/>
      <c r="Q165" s="10"/>
      <c r="R165" s="10"/>
      <c r="S165" s="10"/>
      <c r="T165" s="10"/>
      <c r="U165" s="10"/>
      <c r="V165" s="10"/>
      <c r="W165" s="10"/>
      <c r="X165" s="10"/>
      <c r="Y165" s="10"/>
      <c r="Z165" s="10"/>
      <c r="AA165" s="10"/>
      <c r="AB165" s="10"/>
      <c r="AC165" s="10"/>
      <c r="AD165" s="4" t="s">
        <v>172</v>
      </c>
      <c r="AE165" s="53" t="s">
        <v>1473</v>
      </c>
      <c r="AF165" s="10"/>
      <c r="AG165" s="10"/>
      <c r="AH165" s="10"/>
      <c r="AI165" s="10"/>
      <c r="AJ165" s="4" t="s">
        <v>147</v>
      </c>
      <c r="AK165" s="30" t="s">
        <v>1462</v>
      </c>
      <c r="AL165" s="10"/>
      <c r="AM165" s="10"/>
      <c r="AN165" s="10"/>
      <c r="AO165" s="10"/>
      <c r="AP165" s="10"/>
      <c r="AQ165" s="10"/>
      <c r="AR165" s="10"/>
      <c r="AS165" s="10"/>
    </row>
    <row r="166" spans="1:45" ht="17.25" customHeight="1">
      <c r="A166" s="10"/>
      <c r="B166" s="10"/>
      <c r="C166" s="10"/>
      <c r="D166" s="10"/>
      <c r="E166" s="10"/>
      <c r="F166" s="10"/>
      <c r="G166" s="10"/>
      <c r="H166" s="10"/>
      <c r="I166" s="10"/>
      <c r="J166" s="10"/>
      <c r="K166" s="10"/>
      <c r="L166" s="4" t="s">
        <v>172</v>
      </c>
      <c r="M166" s="4" t="s">
        <v>427</v>
      </c>
      <c r="N166" s="10"/>
      <c r="O166" s="10"/>
      <c r="P166" s="10"/>
      <c r="Q166" s="10"/>
      <c r="R166" s="10"/>
      <c r="S166" s="10"/>
      <c r="T166" s="10"/>
      <c r="U166" s="10"/>
      <c r="V166" s="10"/>
      <c r="W166" s="10"/>
      <c r="X166" s="10"/>
      <c r="Y166" s="10"/>
      <c r="Z166" s="10"/>
      <c r="AA166" s="10"/>
      <c r="AB166" s="10"/>
      <c r="AC166" s="10"/>
      <c r="AD166" s="4" t="s">
        <v>176</v>
      </c>
      <c r="AE166" s="53" t="s">
        <v>1473</v>
      </c>
      <c r="AF166" s="10"/>
      <c r="AG166" s="10"/>
      <c r="AH166" s="10"/>
      <c r="AI166" s="10"/>
      <c r="AJ166" s="4" t="s">
        <v>151</v>
      </c>
      <c r="AK166" s="30" t="s">
        <v>1406</v>
      </c>
      <c r="AL166" s="10"/>
      <c r="AM166" s="10"/>
      <c r="AN166" s="10"/>
      <c r="AO166" s="10"/>
      <c r="AP166" s="10"/>
      <c r="AQ166" s="10"/>
      <c r="AR166" s="10"/>
      <c r="AS166" s="10"/>
    </row>
    <row r="167" spans="1:45" ht="21" customHeight="1">
      <c r="A167" s="10"/>
      <c r="B167" s="10"/>
      <c r="C167" s="10"/>
      <c r="D167" s="10"/>
      <c r="E167" s="10"/>
      <c r="F167" s="10"/>
      <c r="G167" s="10"/>
      <c r="H167" s="10"/>
      <c r="I167" s="10"/>
      <c r="J167" s="10"/>
      <c r="K167" s="10"/>
      <c r="L167" s="4" t="s">
        <v>176</v>
      </c>
      <c r="M167" s="4" t="s">
        <v>1605</v>
      </c>
      <c r="N167" s="10"/>
      <c r="O167" s="10"/>
      <c r="P167" s="10"/>
      <c r="Q167" s="10"/>
      <c r="R167" s="10"/>
      <c r="S167" s="10"/>
      <c r="T167" s="10"/>
      <c r="U167" s="10"/>
      <c r="V167" s="10"/>
      <c r="W167" s="10"/>
      <c r="X167" s="10"/>
      <c r="Y167" s="10"/>
      <c r="Z167" s="10"/>
      <c r="AA167" s="10"/>
      <c r="AB167" s="10"/>
      <c r="AC167" s="10"/>
      <c r="AD167" s="4" t="s">
        <v>180</v>
      </c>
      <c r="AE167" s="53" t="s">
        <v>1473</v>
      </c>
      <c r="AF167" s="10"/>
      <c r="AG167" s="10"/>
      <c r="AH167" s="10"/>
      <c r="AI167" s="10"/>
      <c r="AJ167" s="4" t="s">
        <v>151</v>
      </c>
      <c r="AK167" s="30" t="s">
        <v>1424</v>
      </c>
      <c r="AL167" s="10"/>
      <c r="AM167" s="10"/>
      <c r="AN167" s="10"/>
      <c r="AO167" s="10"/>
      <c r="AP167" s="10"/>
      <c r="AQ167" s="10"/>
      <c r="AR167" s="10"/>
      <c r="AS167" s="10"/>
    </row>
    <row r="168" spans="1:45" ht="21" customHeight="1">
      <c r="A168" s="10"/>
      <c r="B168" s="10"/>
      <c r="C168" s="10"/>
      <c r="D168" s="10"/>
      <c r="E168" s="10"/>
      <c r="F168" s="10"/>
      <c r="G168" s="10"/>
      <c r="H168" s="10"/>
      <c r="I168" s="10"/>
      <c r="J168" s="10"/>
      <c r="K168" s="10"/>
      <c r="L168" s="4" t="s">
        <v>180</v>
      </c>
      <c r="M168" s="4" t="s">
        <v>1606</v>
      </c>
      <c r="N168" s="10"/>
      <c r="O168" s="10"/>
      <c r="P168" s="10"/>
      <c r="Q168" s="10"/>
      <c r="R168" s="10"/>
      <c r="S168" s="10"/>
      <c r="T168" s="10"/>
      <c r="U168" s="10"/>
      <c r="V168" s="10"/>
      <c r="W168" s="10"/>
      <c r="X168" s="10"/>
      <c r="Y168" s="10"/>
      <c r="Z168" s="10"/>
      <c r="AA168" s="10"/>
      <c r="AB168" s="10"/>
      <c r="AC168" s="10"/>
      <c r="AD168" s="4" t="s">
        <v>184</v>
      </c>
      <c r="AE168" s="53" t="s">
        <v>1473</v>
      </c>
      <c r="AF168" s="10"/>
      <c r="AG168" s="10"/>
      <c r="AH168" s="10"/>
      <c r="AI168" s="10"/>
      <c r="AJ168" s="4" t="s">
        <v>155</v>
      </c>
      <c r="AK168" s="30" t="s">
        <v>1452</v>
      </c>
      <c r="AL168" s="10"/>
      <c r="AM168" s="10"/>
      <c r="AN168" s="10"/>
      <c r="AO168" s="10"/>
      <c r="AP168" s="10"/>
      <c r="AQ168" s="10"/>
      <c r="AR168" s="10"/>
      <c r="AS168" s="10"/>
    </row>
    <row r="169" spans="1:45" ht="21" customHeight="1">
      <c r="A169" s="10"/>
      <c r="B169" s="10"/>
      <c r="C169" s="10"/>
      <c r="D169" s="10"/>
      <c r="E169" s="10"/>
      <c r="F169" s="10"/>
      <c r="G169" s="10"/>
      <c r="H169" s="10"/>
      <c r="I169" s="10"/>
      <c r="J169" s="10"/>
      <c r="K169" s="10"/>
      <c r="L169" s="4" t="s">
        <v>184</v>
      </c>
      <c r="M169" s="4" t="s">
        <v>1509</v>
      </c>
      <c r="N169" s="10"/>
      <c r="O169" s="10"/>
      <c r="P169" s="10"/>
      <c r="Q169" s="10"/>
      <c r="R169" s="10"/>
      <c r="S169" s="10"/>
      <c r="T169" s="10"/>
      <c r="U169" s="10"/>
      <c r="V169" s="10"/>
      <c r="W169" s="10"/>
      <c r="X169" s="10"/>
      <c r="Y169" s="10"/>
      <c r="Z169" s="10"/>
      <c r="AA169" s="10"/>
      <c r="AB169" s="10"/>
      <c r="AC169" s="10"/>
      <c r="AD169" s="4" t="s">
        <v>188</v>
      </c>
      <c r="AE169" s="53" t="s">
        <v>1473</v>
      </c>
      <c r="AF169" s="10"/>
      <c r="AG169" s="10"/>
      <c r="AH169" s="10"/>
      <c r="AI169" s="10"/>
      <c r="AJ169" s="4" t="s">
        <v>155</v>
      </c>
      <c r="AK169" s="30" t="s">
        <v>1406</v>
      </c>
      <c r="AL169" s="10"/>
      <c r="AM169" s="10"/>
      <c r="AN169" s="10"/>
      <c r="AO169" s="10"/>
      <c r="AP169" s="10"/>
      <c r="AQ169" s="10"/>
      <c r="AR169" s="10"/>
      <c r="AS169" s="10"/>
    </row>
    <row r="170" spans="1:45" ht="18.75" customHeight="1">
      <c r="A170" s="10"/>
      <c r="B170" s="10"/>
      <c r="C170" s="10"/>
      <c r="D170" s="10"/>
      <c r="E170" s="10"/>
      <c r="F170" s="10"/>
      <c r="G170" s="10"/>
      <c r="H170" s="10"/>
      <c r="I170" s="10"/>
      <c r="J170" s="10"/>
      <c r="K170" s="10"/>
      <c r="L170" s="4" t="s">
        <v>184</v>
      </c>
      <c r="M170" s="4" t="s">
        <v>427</v>
      </c>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4" t="s">
        <v>159</v>
      </c>
      <c r="AK170" s="30" t="s">
        <v>1462</v>
      </c>
      <c r="AL170" s="10"/>
      <c r="AM170" s="10"/>
      <c r="AN170" s="10"/>
      <c r="AO170" s="10"/>
      <c r="AP170" s="10"/>
      <c r="AQ170" s="10"/>
      <c r="AR170" s="10"/>
      <c r="AS170" s="10"/>
    </row>
    <row r="171" spans="1:45" ht="19.5" customHeight="1">
      <c r="A171" s="10"/>
      <c r="B171" s="10"/>
      <c r="C171" s="10"/>
      <c r="D171" s="10"/>
      <c r="E171" s="10"/>
      <c r="F171" s="10"/>
      <c r="G171" s="10"/>
      <c r="H171" s="10"/>
      <c r="I171" s="10"/>
      <c r="J171" s="10"/>
      <c r="K171" s="10"/>
      <c r="L171" s="4" t="s">
        <v>188</v>
      </c>
      <c r="M171" s="4" t="s">
        <v>1385</v>
      </c>
      <c r="N171" s="10"/>
      <c r="O171" s="10"/>
      <c r="P171" s="10"/>
      <c r="Q171" s="10"/>
      <c r="R171" s="10"/>
      <c r="S171" s="10"/>
      <c r="T171" s="10"/>
      <c r="U171" s="29"/>
      <c r="V171" s="29"/>
      <c r="W171" s="29"/>
      <c r="X171" s="10"/>
      <c r="Y171" s="10"/>
      <c r="Z171" s="10"/>
      <c r="AA171" s="10"/>
      <c r="AB171" s="10"/>
      <c r="AC171" s="10"/>
      <c r="AD171" s="10"/>
      <c r="AE171" s="10"/>
      <c r="AF171" s="10"/>
      <c r="AG171" s="10"/>
      <c r="AH171" s="10"/>
      <c r="AI171" s="10"/>
      <c r="AJ171" s="4" t="s">
        <v>159</v>
      </c>
      <c r="AK171" s="30" t="s">
        <v>1406</v>
      </c>
      <c r="AL171" s="10"/>
      <c r="AM171" s="10"/>
      <c r="AN171" s="10"/>
      <c r="AO171" s="10"/>
      <c r="AP171" s="10"/>
      <c r="AQ171" s="10"/>
      <c r="AR171" s="10"/>
      <c r="AS171" s="10"/>
    </row>
    <row r="172" spans="1:45" ht="84">
      <c r="A172" s="47" t="s">
        <v>194</v>
      </c>
      <c r="B172" s="24" t="s">
        <v>222</v>
      </c>
      <c r="C172" s="10"/>
      <c r="D172" s="47" t="s">
        <v>194</v>
      </c>
      <c r="E172" s="24" t="s">
        <v>1607</v>
      </c>
      <c r="F172" s="24" t="s">
        <v>224</v>
      </c>
      <c r="G172" s="24" t="s">
        <v>1608</v>
      </c>
      <c r="H172" s="24" t="s">
        <v>228</v>
      </c>
      <c r="I172" s="24" t="s">
        <v>1609</v>
      </c>
      <c r="J172" s="24" t="s">
        <v>217</v>
      </c>
      <c r="K172" s="67" t="s">
        <v>194</v>
      </c>
      <c r="L172" s="24" t="s">
        <v>1610</v>
      </c>
      <c r="M172" s="10"/>
      <c r="N172" s="68" t="s">
        <v>0</v>
      </c>
      <c r="O172" s="24" t="s">
        <v>1611</v>
      </c>
      <c r="P172" s="17"/>
      <c r="Q172" s="4" t="s">
        <v>194</v>
      </c>
      <c r="R172" s="24" t="s">
        <v>211</v>
      </c>
      <c r="S172" s="24" t="s">
        <v>227</v>
      </c>
      <c r="T172" s="10"/>
      <c r="U172" s="24" t="s">
        <v>218</v>
      </c>
      <c r="V172" s="10"/>
      <c r="W172" s="24" t="s">
        <v>0</v>
      </c>
      <c r="X172" s="24" t="s">
        <v>233</v>
      </c>
      <c r="Y172" s="24" t="s">
        <v>234</v>
      </c>
      <c r="Z172" s="24" t="s">
        <v>235</v>
      </c>
      <c r="AA172" s="10"/>
      <c r="AB172" s="47" t="s">
        <v>0</v>
      </c>
      <c r="AC172" s="69" t="s">
        <v>1612</v>
      </c>
      <c r="AD172" s="47" t="s">
        <v>1613</v>
      </c>
      <c r="AE172" s="24" t="s">
        <v>1614</v>
      </c>
      <c r="AF172" s="10"/>
      <c r="AG172" s="10"/>
      <c r="AH172" s="10"/>
      <c r="AI172" s="10"/>
      <c r="AJ172" s="4" t="s">
        <v>163</v>
      </c>
      <c r="AK172" s="30" t="s">
        <v>1412</v>
      </c>
      <c r="AL172" s="10"/>
      <c r="AM172" s="10"/>
      <c r="AN172" s="10"/>
      <c r="AO172" s="10"/>
      <c r="AP172" s="10"/>
      <c r="AQ172" s="10"/>
      <c r="AR172" s="10"/>
      <c r="AS172" s="10"/>
    </row>
    <row r="173" spans="1:45" ht="54.75" customHeight="1">
      <c r="A173" s="4" t="s">
        <v>8</v>
      </c>
      <c r="B173" s="4" t="s">
        <v>328</v>
      </c>
      <c r="C173" s="10"/>
      <c r="D173" s="4" t="s">
        <v>8</v>
      </c>
      <c r="E173" s="4" t="s">
        <v>264</v>
      </c>
      <c r="F173" s="4" t="s">
        <v>265</v>
      </c>
      <c r="G173" s="4" t="s">
        <v>265</v>
      </c>
      <c r="H173" s="4" t="s">
        <v>268</v>
      </c>
      <c r="I173" s="4" t="s">
        <v>266</v>
      </c>
      <c r="J173" s="53" t="s">
        <v>259</v>
      </c>
      <c r="K173" s="54" t="s">
        <v>8</v>
      </c>
      <c r="L173" s="4" t="s">
        <v>657</v>
      </c>
      <c r="M173" s="10"/>
      <c r="N173" s="4" t="s">
        <v>8</v>
      </c>
      <c r="O173" s="42" t="s">
        <v>325</v>
      </c>
      <c r="P173" s="10"/>
      <c r="Q173" s="4">
        <v>1</v>
      </c>
      <c r="R173" s="4" t="s">
        <v>253</v>
      </c>
      <c r="S173" s="53" t="s">
        <v>267</v>
      </c>
      <c r="T173" s="10"/>
      <c r="U173" s="4" t="s">
        <v>260</v>
      </c>
      <c r="V173" s="10"/>
      <c r="W173" s="4" t="s">
        <v>8</v>
      </c>
      <c r="X173" s="4" t="s">
        <v>273</v>
      </c>
      <c r="Y173" s="4" t="s">
        <v>274</v>
      </c>
      <c r="Z173" s="4" t="s">
        <v>275</v>
      </c>
      <c r="AA173" s="10"/>
      <c r="AB173" s="70" t="s">
        <v>8</v>
      </c>
      <c r="AC173" s="70" t="s">
        <v>1615</v>
      </c>
      <c r="AD173" s="70"/>
      <c r="AE173" s="53"/>
      <c r="AF173" s="10"/>
      <c r="AG173" s="10"/>
      <c r="AH173" s="10"/>
      <c r="AI173" s="10"/>
      <c r="AJ173" s="4" t="s">
        <v>168</v>
      </c>
      <c r="AK173" s="30" t="s">
        <v>1406</v>
      </c>
      <c r="AL173" s="10"/>
      <c r="AM173" s="10"/>
      <c r="AN173" s="10"/>
      <c r="AO173" s="10"/>
      <c r="AP173" s="10"/>
      <c r="AQ173" s="10"/>
      <c r="AR173" s="10"/>
      <c r="AS173" s="10"/>
    </row>
    <row r="174" spans="1:45" ht="82.5" customHeight="1">
      <c r="A174" s="4" t="s">
        <v>14</v>
      </c>
      <c r="B174" s="4" t="s">
        <v>328</v>
      </c>
      <c r="C174" s="10"/>
      <c r="D174" s="4" t="s">
        <v>14</v>
      </c>
      <c r="E174" s="4" t="s">
        <v>264</v>
      </c>
      <c r="F174" s="4" t="s">
        <v>265</v>
      </c>
      <c r="G174" s="4" t="s">
        <v>265</v>
      </c>
      <c r="H174" s="4" t="s">
        <v>268</v>
      </c>
      <c r="I174" s="4" t="s">
        <v>1616</v>
      </c>
      <c r="J174" s="53" t="s">
        <v>268</v>
      </c>
      <c r="K174" s="54" t="s">
        <v>8</v>
      </c>
      <c r="L174" s="4" t="s">
        <v>1617</v>
      </c>
      <c r="M174" s="10"/>
      <c r="N174" s="4" t="s">
        <v>14</v>
      </c>
      <c r="O174" s="57" t="s">
        <v>1618</v>
      </c>
      <c r="P174" s="10"/>
      <c r="Q174" s="4">
        <v>2</v>
      </c>
      <c r="R174" s="4" t="s">
        <v>322</v>
      </c>
      <c r="S174" s="53" t="s">
        <v>330</v>
      </c>
      <c r="T174" s="10"/>
      <c r="U174" s="4" t="s">
        <v>325</v>
      </c>
      <c r="V174" s="10"/>
      <c r="W174" s="4" t="s">
        <v>14</v>
      </c>
      <c r="X174" s="4" t="s">
        <v>334</v>
      </c>
      <c r="Y174" s="4" t="s">
        <v>335</v>
      </c>
      <c r="Z174" s="4" t="s">
        <v>336</v>
      </c>
      <c r="AA174" s="10"/>
      <c r="AB174" s="70" t="s">
        <v>8</v>
      </c>
      <c r="AC174" s="70" t="s">
        <v>1619</v>
      </c>
      <c r="AD174" s="70" t="s">
        <v>1620</v>
      </c>
      <c r="AE174" s="53" t="s">
        <v>1621</v>
      </c>
      <c r="AF174" s="10"/>
      <c r="AG174" s="10"/>
      <c r="AH174" s="10"/>
      <c r="AI174" s="10"/>
      <c r="AJ174" s="4" t="s">
        <v>168</v>
      </c>
      <c r="AK174" s="30" t="s">
        <v>1412</v>
      </c>
      <c r="AL174" s="10"/>
      <c r="AM174" s="10"/>
      <c r="AN174" s="10"/>
      <c r="AO174" s="10"/>
      <c r="AP174" s="10"/>
      <c r="AQ174" s="10"/>
      <c r="AR174" s="10"/>
      <c r="AS174" s="10"/>
    </row>
    <row r="175" spans="1:45" ht="28">
      <c r="A175" s="4" t="s">
        <v>17</v>
      </c>
      <c r="B175" s="4" t="s">
        <v>328</v>
      </c>
      <c r="C175" s="10"/>
      <c r="D175" s="4" t="s">
        <v>17</v>
      </c>
      <c r="E175" s="4" t="s">
        <v>264</v>
      </c>
      <c r="F175" s="4" t="s">
        <v>385</v>
      </c>
      <c r="G175" s="4" t="s">
        <v>386</v>
      </c>
      <c r="H175" s="4" t="s">
        <v>268</v>
      </c>
      <c r="I175" s="4" t="s">
        <v>1622</v>
      </c>
      <c r="J175" s="53" t="s">
        <v>351</v>
      </c>
      <c r="K175" s="54" t="s">
        <v>8</v>
      </c>
      <c r="L175" s="4" t="s">
        <v>1623</v>
      </c>
      <c r="M175" s="10"/>
      <c r="N175" s="4" t="s">
        <v>14</v>
      </c>
      <c r="O175" s="42" t="s">
        <v>1624</v>
      </c>
      <c r="P175" s="10"/>
      <c r="Q175" s="4">
        <v>3</v>
      </c>
      <c r="R175" s="4" t="s">
        <v>1625</v>
      </c>
      <c r="S175" s="53" t="s">
        <v>1626</v>
      </c>
      <c r="T175" s="10"/>
      <c r="U175" s="4" t="s">
        <v>325</v>
      </c>
      <c r="V175" s="10"/>
      <c r="W175" s="4" t="s">
        <v>17</v>
      </c>
      <c r="X175" s="4" t="s">
        <v>270</v>
      </c>
      <c r="Y175" s="4" t="s">
        <v>389</v>
      </c>
      <c r="Z175" s="4" t="s">
        <v>390</v>
      </c>
      <c r="AA175" s="10"/>
      <c r="AB175" s="70" t="s">
        <v>8</v>
      </c>
      <c r="AC175" s="70" t="s">
        <v>1627</v>
      </c>
      <c r="AD175" s="71" t="s">
        <v>1628</v>
      </c>
      <c r="AE175" s="53" t="s">
        <v>1629</v>
      </c>
      <c r="AF175" s="10"/>
      <c r="AG175" s="10"/>
      <c r="AH175" s="10"/>
      <c r="AI175" s="10"/>
      <c r="AJ175" s="4" t="s">
        <v>172</v>
      </c>
      <c r="AK175" s="30" t="s">
        <v>1406</v>
      </c>
      <c r="AL175" s="10"/>
      <c r="AM175" s="10"/>
      <c r="AN175" s="10"/>
      <c r="AO175" s="10"/>
      <c r="AP175" s="10"/>
      <c r="AQ175" s="10"/>
      <c r="AR175" s="10"/>
      <c r="AS175" s="10"/>
    </row>
    <row r="176" spans="1:45" ht="42">
      <c r="A176" s="4" t="s">
        <v>21</v>
      </c>
      <c r="B176" s="4" t="s">
        <v>432</v>
      </c>
      <c r="C176" s="10"/>
      <c r="D176" s="4" t="s">
        <v>21</v>
      </c>
      <c r="E176" s="4" t="s">
        <v>264</v>
      </c>
      <c r="F176" s="4" t="s">
        <v>265</v>
      </c>
      <c r="G176" s="4" t="s">
        <v>262</v>
      </c>
      <c r="H176" s="4" t="s">
        <v>268</v>
      </c>
      <c r="I176" s="4" t="s">
        <v>1630</v>
      </c>
      <c r="J176" s="53" t="s">
        <v>268</v>
      </c>
      <c r="K176" s="54" t="s">
        <v>8</v>
      </c>
      <c r="L176" s="4" t="s">
        <v>387</v>
      </c>
      <c r="M176" s="10"/>
      <c r="N176" s="4" t="s">
        <v>14</v>
      </c>
      <c r="O176" s="42" t="s">
        <v>1631</v>
      </c>
      <c r="P176" s="10"/>
      <c r="Q176" s="4">
        <v>4</v>
      </c>
      <c r="R176" s="4" t="s">
        <v>426</v>
      </c>
      <c r="S176" s="53" t="s">
        <v>1632</v>
      </c>
      <c r="T176" s="10"/>
      <c r="U176" s="4" t="s">
        <v>430</v>
      </c>
      <c r="V176" s="10"/>
      <c r="W176" s="4" t="s">
        <v>21</v>
      </c>
      <c r="X176" s="4" t="s">
        <v>437</v>
      </c>
      <c r="Y176" s="4" t="s">
        <v>1633</v>
      </c>
      <c r="Z176" s="4" t="s">
        <v>439</v>
      </c>
      <c r="AA176" s="10"/>
      <c r="AB176" s="70" t="s">
        <v>8</v>
      </c>
      <c r="AC176" s="70" t="s">
        <v>1634</v>
      </c>
      <c r="AD176" s="70" t="s">
        <v>1635</v>
      </c>
      <c r="AE176" s="53"/>
      <c r="AF176" s="10"/>
      <c r="AG176" s="10"/>
      <c r="AH176" s="10"/>
      <c r="AI176" s="10"/>
      <c r="AJ176" s="4" t="s">
        <v>172</v>
      </c>
      <c r="AK176" s="30" t="s">
        <v>1412</v>
      </c>
      <c r="AL176" s="10"/>
      <c r="AM176" s="10"/>
      <c r="AN176" s="10"/>
      <c r="AO176" s="10"/>
      <c r="AP176" s="10"/>
      <c r="AQ176" s="10"/>
      <c r="AR176" s="10"/>
      <c r="AS176" s="10"/>
    </row>
    <row r="177" spans="1:45" ht="14">
      <c r="A177" s="4" t="s">
        <v>26</v>
      </c>
      <c r="B177" s="4" t="s">
        <v>457</v>
      </c>
      <c r="C177" s="10"/>
      <c r="D177" s="4" t="s">
        <v>26</v>
      </c>
      <c r="E177" s="4" t="s">
        <v>264</v>
      </c>
      <c r="F177" s="4" t="s">
        <v>385</v>
      </c>
      <c r="G177" s="4" t="s">
        <v>386</v>
      </c>
      <c r="H177" s="4" t="s">
        <v>409</v>
      </c>
      <c r="I177" s="4" t="s">
        <v>386</v>
      </c>
      <c r="J177" s="53" t="s">
        <v>259</v>
      </c>
      <c r="K177" s="54" t="s">
        <v>8</v>
      </c>
      <c r="L177" s="4" t="s">
        <v>1636</v>
      </c>
      <c r="M177" s="10"/>
      <c r="N177" s="4" t="s">
        <v>17</v>
      </c>
      <c r="O177" s="42" t="s">
        <v>325</v>
      </c>
      <c r="P177" s="10"/>
      <c r="Q177" s="4">
        <v>5</v>
      </c>
      <c r="R177" s="57" t="s">
        <v>451</v>
      </c>
      <c r="S177" s="53" t="s">
        <v>458</v>
      </c>
      <c r="T177" s="10"/>
      <c r="U177" s="4" t="s">
        <v>455</v>
      </c>
      <c r="V177" s="10"/>
      <c r="W177" s="4" t="s">
        <v>26</v>
      </c>
      <c r="X177" s="4" t="s">
        <v>270</v>
      </c>
      <c r="Y177" s="4" t="s">
        <v>460</v>
      </c>
      <c r="Z177" s="4" t="s">
        <v>270</v>
      </c>
      <c r="AA177" s="10"/>
      <c r="AB177" s="70" t="s">
        <v>8</v>
      </c>
      <c r="AC177" s="70" t="s">
        <v>1637</v>
      </c>
      <c r="AD177" s="70"/>
      <c r="AE177" s="53"/>
      <c r="AF177" s="10"/>
      <c r="AG177" s="10"/>
      <c r="AH177" s="10"/>
      <c r="AI177" s="10"/>
      <c r="AJ177" s="4" t="s">
        <v>176</v>
      </c>
      <c r="AK177" s="30" t="s">
        <v>1406</v>
      </c>
      <c r="AL177" s="10"/>
      <c r="AM177" s="10"/>
      <c r="AN177" s="10"/>
      <c r="AO177" s="10"/>
      <c r="AP177" s="10"/>
      <c r="AQ177" s="10"/>
      <c r="AR177" s="10"/>
      <c r="AS177" s="10"/>
    </row>
    <row r="178" spans="1:45" ht="42">
      <c r="A178" s="4" t="s">
        <v>29</v>
      </c>
      <c r="B178" s="4" t="s">
        <v>457</v>
      </c>
      <c r="C178" s="10"/>
      <c r="D178" s="4" t="s">
        <v>29</v>
      </c>
      <c r="E178" s="4" t="s">
        <v>264</v>
      </c>
      <c r="F178" s="4" t="s">
        <v>385</v>
      </c>
      <c r="G178" s="4" t="s">
        <v>386</v>
      </c>
      <c r="H178" s="4" t="s">
        <v>409</v>
      </c>
      <c r="I178" s="4" t="s">
        <v>386</v>
      </c>
      <c r="J178" s="53" t="s">
        <v>259</v>
      </c>
      <c r="K178" s="54" t="s">
        <v>14</v>
      </c>
      <c r="L178" s="4" t="s">
        <v>657</v>
      </c>
      <c r="M178" s="10"/>
      <c r="N178" s="4" t="s">
        <v>21</v>
      </c>
      <c r="O178" s="42" t="s">
        <v>1638</v>
      </c>
      <c r="P178" s="10"/>
      <c r="Q178" s="4">
        <v>6</v>
      </c>
      <c r="R178" s="57" t="s">
        <v>495</v>
      </c>
      <c r="S178" s="53" t="s">
        <v>501</v>
      </c>
      <c r="T178" s="10"/>
      <c r="U178" s="4" t="s">
        <v>499</v>
      </c>
      <c r="V178" s="10"/>
      <c r="W178" s="4" t="s">
        <v>29</v>
      </c>
      <c r="X178" s="4" t="s">
        <v>503</v>
      </c>
      <c r="Y178" s="4" t="s">
        <v>504</v>
      </c>
      <c r="Z178" s="4" t="s">
        <v>505</v>
      </c>
      <c r="AA178" s="10"/>
      <c r="AB178" s="70" t="s">
        <v>14</v>
      </c>
      <c r="AC178" s="70" t="s">
        <v>1619</v>
      </c>
      <c r="AD178" s="70" t="s">
        <v>1639</v>
      </c>
      <c r="AE178" s="53" t="s">
        <v>1640</v>
      </c>
      <c r="AF178" s="10"/>
      <c r="AG178" s="10"/>
      <c r="AH178" s="10"/>
      <c r="AI178" s="10"/>
      <c r="AJ178" s="4" t="s">
        <v>180</v>
      </c>
      <c r="AK178" s="30" t="s">
        <v>1406</v>
      </c>
      <c r="AL178" s="10"/>
      <c r="AM178" s="10"/>
      <c r="AN178" s="10"/>
      <c r="AO178" s="10"/>
      <c r="AP178" s="10"/>
      <c r="AQ178" s="10"/>
      <c r="AR178" s="10"/>
      <c r="AS178" s="10"/>
    </row>
    <row r="179" spans="1:45" ht="56">
      <c r="A179" s="4" t="s">
        <v>32</v>
      </c>
      <c r="B179" s="4" t="s">
        <v>432</v>
      </c>
      <c r="C179" s="10"/>
      <c r="D179" s="4" t="s">
        <v>32</v>
      </c>
      <c r="E179" s="4" t="s">
        <v>264</v>
      </c>
      <c r="F179" s="4" t="s">
        <v>262</v>
      </c>
      <c r="G179" s="4" t="s">
        <v>262</v>
      </c>
      <c r="H179" s="4" t="s">
        <v>268</v>
      </c>
      <c r="I179" s="4" t="s">
        <v>546</v>
      </c>
      <c r="J179" s="53" t="s">
        <v>268</v>
      </c>
      <c r="K179" s="54" t="s">
        <v>14</v>
      </c>
      <c r="L179" s="4" t="s">
        <v>1641</v>
      </c>
      <c r="M179" s="10"/>
      <c r="N179" s="4" t="s">
        <v>26</v>
      </c>
      <c r="O179" s="42" t="s">
        <v>386</v>
      </c>
      <c r="P179" s="10"/>
      <c r="Q179" s="4">
        <v>7</v>
      </c>
      <c r="R179" s="4" t="s">
        <v>539</v>
      </c>
      <c r="S179" s="53" t="s">
        <v>547</v>
      </c>
      <c r="T179" s="10"/>
      <c r="U179" s="4" t="s">
        <v>543</v>
      </c>
      <c r="V179" s="10"/>
      <c r="W179" s="4" t="s">
        <v>32</v>
      </c>
      <c r="X179" s="4" t="s">
        <v>270</v>
      </c>
      <c r="Y179" s="4" t="s">
        <v>550</v>
      </c>
      <c r="Z179" s="4" t="s">
        <v>551</v>
      </c>
      <c r="AA179" s="10"/>
      <c r="AB179" s="70" t="s">
        <v>14</v>
      </c>
      <c r="AC179" s="70" t="s">
        <v>1637</v>
      </c>
      <c r="AD179" s="70"/>
      <c r="AE179" s="53"/>
      <c r="AF179" s="10"/>
      <c r="AG179" s="10"/>
      <c r="AH179" s="10"/>
      <c r="AI179" s="10"/>
      <c r="AJ179" s="4" t="s">
        <v>184</v>
      </c>
      <c r="AK179" s="30" t="s">
        <v>1406</v>
      </c>
      <c r="AL179" s="10"/>
      <c r="AM179" s="10"/>
      <c r="AN179" s="10"/>
      <c r="AO179" s="10"/>
      <c r="AP179" s="10"/>
      <c r="AQ179" s="10"/>
      <c r="AR179" s="10"/>
      <c r="AS179" s="10"/>
    </row>
    <row r="180" spans="1:45" ht="14">
      <c r="A180" s="4" t="s">
        <v>36</v>
      </c>
      <c r="B180" s="4" t="s">
        <v>457</v>
      </c>
      <c r="C180" s="10"/>
      <c r="D180" s="4" t="s">
        <v>36</v>
      </c>
      <c r="E180" s="4" t="s">
        <v>264</v>
      </c>
      <c r="F180" s="4" t="s">
        <v>265</v>
      </c>
      <c r="G180" s="4" t="s">
        <v>265</v>
      </c>
      <c r="H180" s="4" t="s">
        <v>409</v>
      </c>
      <c r="I180" s="4" t="s">
        <v>386</v>
      </c>
      <c r="J180" s="53" t="s">
        <v>268</v>
      </c>
      <c r="K180" s="54" t="s">
        <v>14</v>
      </c>
      <c r="L180" s="4" t="s">
        <v>1642</v>
      </c>
      <c r="M180" s="10"/>
      <c r="N180" s="4" t="s">
        <v>29</v>
      </c>
      <c r="O180" s="42" t="s">
        <v>386</v>
      </c>
      <c r="P180" s="10"/>
      <c r="Q180" s="4">
        <v>8</v>
      </c>
      <c r="R180" s="4" t="s">
        <v>563</v>
      </c>
      <c r="S180" s="53" t="s">
        <v>593</v>
      </c>
      <c r="T180" s="10"/>
      <c r="U180" s="4" t="s">
        <v>567</v>
      </c>
      <c r="V180" s="10"/>
      <c r="W180" s="4" t="s">
        <v>36</v>
      </c>
      <c r="X180" s="4" t="s">
        <v>270</v>
      </c>
      <c r="Y180" s="4" t="s">
        <v>571</v>
      </c>
      <c r="Z180" s="4" t="s">
        <v>572</v>
      </c>
      <c r="AA180" s="10"/>
      <c r="AB180" s="70" t="s">
        <v>14</v>
      </c>
      <c r="AC180" s="70" t="s">
        <v>1615</v>
      </c>
      <c r="AD180" s="70"/>
      <c r="AE180" s="53"/>
      <c r="AF180" s="10"/>
      <c r="AG180" s="10"/>
      <c r="AH180" s="10"/>
      <c r="AI180" s="10"/>
      <c r="AJ180" s="4" t="s">
        <v>184</v>
      </c>
      <c r="AK180" s="30" t="s">
        <v>1462</v>
      </c>
      <c r="AL180" s="10"/>
      <c r="AM180" s="10"/>
      <c r="AN180" s="10"/>
      <c r="AO180" s="10"/>
      <c r="AP180" s="10"/>
      <c r="AQ180" s="10"/>
      <c r="AR180" s="10"/>
      <c r="AS180" s="10"/>
    </row>
    <row r="181" spans="1:45" ht="42">
      <c r="A181" s="4" t="s">
        <v>39</v>
      </c>
      <c r="B181" s="4" t="s">
        <v>328</v>
      </c>
      <c r="C181" s="10"/>
      <c r="D181" s="4" t="s">
        <v>39</v>
      </c>
      <c r="E181" s="4" t="s">
        <v>264</v>
      </c>
      <c r="F181" s="4" t="s">
        <v>385</v>
      </c>
      <c r="G181" s="4" t="s">
        <v>386</v>
      </c>
      <c r="H181" s="4" t="s">
        <v>268</v>
      </c>
      <c r="I181" s="4" t="s">
        <v>610</v>
      </c>
      <c r="J181" s="53" t="s">
        <v>268</v>
      </c>
      <c r="K181" s="54" t="s">
        <v>17</v>
      </c>
      <c r="L181" s="4" t="s">
        <v>387</v>
      </c>
      <c r="M181" s="10"/>
      <c r="N181" s="4" t="s">
        <v>32</v>
      </c>
      <c r="O181" s="42" t="s">
        <v>325</v>
      </c>
      <c r="P181" s="10"/>
      <c r="Q181" s="4">
        <v>9</v>
      </c>
      <c r="R181" s="4" t="s">
        <v>606</v>
      </c>
      <c r="S181" s="53" t="s">
        <v>611</v>
      </c>
      <c r="T181" s="10"/>
      <c r="U181" s="4" t="s">
        <v>1395</v>
      </c>
      <c r="V181" s="10"/>
      <c r="W181" s="4" t="s">
        <v>39</v>
      </c>
      <c r="X181" s="4" t="s">
        <v>614</v>
      </c>
      <c r="Y181" s="4" t="s">
        <v>615</v>
      </c>
      <c r="Z181" s="4" t="s">
        <v>616</v>
      </c>
      <c r="AA181" s="10"/>
      <c r="AB181" s="70" t="s">
        <v>17</v>
      </c>
      <c r="AC181" s="70" t="s">
        <v>1643</v>
      </c>
      <c r="AD181" s="70" t="s">
        <v>1644</v>
      </c>
      <c r="AE181" s="53" t="s">
        <v>1645</v>
      </c>
      <c r="AF181" s="10"/>
      <c r="AG181" s="10"/>
      <c r="AH181" s="10"/>
      <c r="AI181" s="10"/>
      <c r="AJ181" s="4" t="s">
        <v>188</v>
      </c>
      <c r="AK181" s="30" t="s">
        <v>1406</v>
      </c>
      <c r="AL181" s="10"/>
      <c r="AM181" s="10"/>
      <c r="AN181" s="10"/>
      <c r="AO181" s="10"/>
      <c r="AP181" s="10"/>
      <c r="AQ181" s="10"/>
      <c r="AR181" s="10"/>
      <c r="AS181" s="10"/>
    </row>
    <row r="182" spans="1:45" ht="42">
      <c r="A182" s="4" t="s">
        <v>43</v>
      </c>
      <c r="B182" s="4" t="s">
        <v>432</v>
      </c>
      <c r="C182" s="10"/>
      <c r="D182" s="4" t="s">
        <v>43</v>
      </c>
      <c r="E182" s="4" t="s">
        <v>264</v>
      </c>
      <c r="F182" s="4" t="s">
        <v>265</v>
      </c>
      <c r="G182" s="4" t="s">
        <v>265</v>
      </c>
      <c r="H182" s="4" t="s">
        <v>268</v>
      </c>
      <c r="I182" s="4" t="s">
        <v>634</v>
      </c>
      <c r="J182" s="53" t="s">
        <v>630</v>
      </c>
      <c r="K182" s="54" t="s">
        <v>21</v>
      </c>
      <c r="L182" s="4" t="s">
        <v>387</v>
      </c>
      <c r="M182" s="10"/>
      <c r="N182" s="4" t="s">
        <v>36</v>
      </c>
      <c r="O182" s="42" t="s">
        <v>386</v>
      </c>
      <c r="P182" s="10"/>
      <c r="Q182" s="4">
        <v>10</v>
      </c>
      <c r="R182" s="4" t="s">
        <v>626</v>
      </c>
      <c r="S182" s="53" t="s">
        <v>1646</v>
      </c>
      <c r="T182" s="10"/>
      <c r="U182" s="4" t="s">
        <v>386</v>
      </c>
      <c r="V182" s="10"/>
      <c r="W182" s="4" t="s">
        <v>43</v>
      </c>
      <c r="X182" s="4" t="s">
        <v>638</v>
      </c>
      <c r="Y182" s="4" t="s">
        <v>1647</v>
      </c>
      <c r="Z182" s="4" t="s">
        <v>639</v>
      </c>
      <c r="AA182" s="10"/>
      <c r="AB182" s="70" t="s">
        <v>17</v>
      </c>
      <c r="AC182" s="70" t="s">
        <v>1648</v>
      </c>
      <c r="AD182" s="70"/>
      <c r="AE182" s="53"/>
      <c r="AF182" s="10"/>
      <c r="AG182" s="10"/>
      <c r="AH182" s="10"/>
      <c r="AI182" s="10"/>
      <c r="AJ182" s="10"/>
      <c r="AK182" s="10"/>
      <c r="AL182" s="10"/>
      <c r="AM182" s="10"/>
      <c r="AN182" s="10"/>
      <c r="AO182" s="10"/>
      <c r="AP182" s="10"/>
      <c r="AQ182" s="10"/>
      <c r="AR182" s="10"/>
      <c r="AS182" s="10"/>
    </row>
    <row r="183" spans="1:45" ht="70">
      <c r="A183" s="4" t="s">
        <v>49</v>
      </c>
      <c r="B183" s="4" t="s">
        <v>328</v>
      </c>
      <c r="C183" s="10"/>
      <c r="D183" s="4" t="s">
        <v>49</v>
      </c>
      <c r="E183" s="4" t="s">
        <v>264</v>
      </c>
      <c r="F183" s="4" t="s">
        <v>385</v>
      </c>
      <c r="G183" s="4" t="s">
        <v>386</v>
      </c>
      <c r="H183" s="4" t="s">
        <v>268</v>
      </c>
      <c r="I183" s="4" t="s">
        <v>1649</v>
      </c>
      <c r="J183" s="53" t="s">
        <v>259</v>
      </c>
      <c r="K183" s="54" t="s">
        <v>21</v>
      </c>
      <c r="L183" s="4" t="s">
        <v>1623</v>
      </c>
      <c r="M183" s="10"/>
      <c r="N183" s="4" t="s">
        <v>39</v>
      </c>
      <c r="O183" s="42" t="s">
        <v>325</v>
      </c>
      <c r="P183" s="10"/>
      <c r="Q183" s="4">
        <v>11</v>
      </c>
      <c r="R183" s="4" t="s">
        <v>650</v>
      </c>
      <c r="S183" s="53" t="s">
        <v>656</v>
      </c>
      <c r="T183" s="10"/>
      <c r="U183" s="4" t="s">
        <v>653</v>
      </c>
      <c r="V183" s="10"/>
      <c r="W183" s="4" t="s">
        <v>49</v>
      </c>
      <c r="X183" s="4" t="s">
        <v>270</v>
      </c>
      <c r="Y183" s="4" t="s">
        <v>1650</v>
      </c>
      <c r="Z183" s="4" t="s">
        <v>270</v>
      </c>
      <c r="AA183" s="10"/>
      <c r="AB183" s="70" t="s">
        <v>17</v>
      </c>
      <c r="AC183" s="70" t="s">
        <v>1637</v>
      </c>
      <c r="AD183" s="70"/>
      <c r="AE183" s="53"/>
      <c r="AF183" s="10"/>
      <c r="AG183" s="10"/>
      <c r="AH183" s="10"/>
      <c r="AI183" s="10"/>
      <c r="AJ183" s="10"/>
      <c r="AK183" s="10"/>
      <c r="AL183" s="10"/>
      <c r="AM183" s="10"/>
      <c r="AN183" s="10"/>
      <c r="AO183" s="10"/>
      <c r="AP183" s="10"/>
      <c r="AQ183" s="10"/>
      <c r="AR183" s="10"/>
      <c r="AS183" s="10"/>
    </row>
    <row r="184" spans="1:45" ht="42">
      <c r="A184" s="4" t="s">
        <v>53</v>
      </c>
      <c r="B184" s="4" t="s">
        <v>328</v>
      </c>
      <c r="C184" s="10"/>
      <c r="D184" s="4" t="s">
        <v>53</v>
      </c>
      <c r="E184" s="4" t="s">
        <v>736</v>
      </c>
      <c r="F184" s="4" t="s">
        <v>385</v>
      </c>
      <c r="G184" s="4" t="s">
        <v>386</v>
      </c>
      <c r="H184" s="4" t="s">
        <v>268</v>
      </c>
      <c r="I184" s="4" t="s">
        <v>1113</v>
      </c>
      <c r="J184" s="53" t="s">
        <v>671</v>
      </c>
      <c r="K184" s="54" t="s">
        <v>21</v>
      </c>
      <c r="L184" s="4" t="s">
        <v>1651</v>
      </c>
      <c r="M184" s="10"/>
      <c r="N184" s="4" t="s">
        <v>43</v>
      </c>
      <c r="O184" s="42" t="s">
        <v>1652</v>
      </c>
      <c r="P184" s="10"/>
      <c r="Q184" s="4">
        <v>12</v>
      </c>
      <c r="R184" s="4" t="s">
        <v>668</v>
      </c>
      <c r="S184" s="53" t="s">
        <v>677</v>
      </c>
      <c r="T184" s="10"/>
      <c r="U184" s="4" t="s">
        <v>672</v>
      </c>
      <c r="V184" s="10"/>
      <c r="W184" s="4" t="s">
        <v>53</v>
      </c>
      <c r="X184" s="4" t="s">
        <v>681</v>
      </c>
      <c r="Y184" s="4" t="s">
        <v>682</v>
      </c>
      <c r="Z184" s="4" t="s">
        <v>683</v>
      </c>
      <c r="AA184" s="10"/>
      <c r="AB184" s="70" t="s">
        <v>17</v>
      </c>
      <c r="AC184" s="70" t="s">
        <v>1619</v>
      </c>
      <c r="AD184" s="70"/>
      <c r="AE184" s="53"/>
      <c r="AF184" s="10"/>
      <c r="AG184" s="10"/>
      <c r="AH184" s="10"/>
      <c r="AI184" s="10"/>
      <c r="AJ184" s="10"/>
      <c r="AK184" s="10"/>
      <c r="AL184" s="10"/>
      <c r="AM184" s="10"/>
      <c r="AN184" s="10"/>
      <c r="AO184" s="10"/>
      <c r="AP184" s="10"/>
      <c r="AQ184" s="10"/>
      <c r="AR184" s="10"/>
      <c r="AS184" s="10"/>
    </row>
    <row r="185" spans="1:45" ht="56">
      <c r="A185" s="4" t="s">
        <v>56</v>
      </c>
      <c r="B185" s="4" t="s">
        <v>328</v>
      </c>
      <c r="C185" s="10"/>
      <c r="D185" s="4" t="s">
        <v>56</v>
      </c>
      <c r="E185" s="4" t="s">
        <v>264</v>
      </c>
      <c r="F185" s="4" t="s">
        <v>265</v>
      </c>
      <c r="G185" s="4" t="s">
        <v>265</v>
      </c>
      <c r="H185" s="4" t="s">
        <v>268</v>
      </c>
      <c r="I185" s="4" t="s">
        <v>697</v>
      </c>
      <c r="J185" s="53" t="s">
        <v>671</v>
      </c>
      <c r="K185" s="54" t="s">
        <v>26</v>
      </c>
      <c r="L185" s="4" t="s">
        <v>386</v>
      </c>
      <c r="M185" s="10"/>
      <c r="N185" s="4" t="s">
        <v>43</v>
      </c>
      <c r="O185" s="42" t="s">
        <v>924</v>
      </c>
      <c r="P185" s="10"/>
      <c r="Q185" s="4">
        <v>13</v>
      </c>
      <c r="R185" s="4" t="s">
        <v>692</v>
      </c>
      <c r="S185" s="53" t="s">
        <v>698</v>
      </c>
      <c r="T185" s="10"/>
      <c r="U185" s="4" t="s">
        <v>695</v>
      </c>
      <c r="V185" s="10"/>
      <c r="W185" s="4" t="s">
        <v>56</v>
      </c>
      <c r="X185" s="4" t="s">
        <v>701</v>
      </c>
      <c r="Y185" s="4" t="s">
        <v>702</v>
      </c>
      <c r="Z185" s="4" t="s">
        <v>270</v>
      </c>
      <c r="AA185" s="10"/>
      <c r="AB185" s="70"/>
      <c r="AC185" s="70" t="s">
        <v>1615</v>
      </c>
      <c r="AD185" s="70"/>
      <c r="AE185" s="53"/>
      <c r="AF185" s="10"/>
      <c r="AG185" s="10"/>
      <c r="AH185" s="10"/>
      <c r="AI185" s="10"/>
      <c r="AJ185" s="10"/>
      <c r="AK185" s="10"/>
      <c r="AL185" s="10"/>
      <c r="AM185" s="10"/>
      <c r="AN185" s="10"/>
      <c r="AO185" s="10"/>
      <c r="AP185" s="10"/>
      <c r="AQ185" s="10"/>
      <c r="AR185" s="10"/>
      <c r="AS185" s="10"/>
    </row>
    <row r="186" spans="1:45" ht="28">
      <c r="A186" s="4" t="s">
        <v>60</v>
      </c>
      <c r="B186" s="4" t="s">
        <v>328</v>
      </c>
      <c r="C186" s="10"/>
      <c r="D186" s="4" t="s">
        <v>60</v>
      </c>
      <c r="E186" s="4" t="s">
        <v>264</v>
      </c>
      <c r="F186" s="4" t="s">
        <v>265</v>
      </c>
      <c r="G186" s="4" t="s">
        <v>265</v>
      </c>
      <c r="H186" s="4" t="s">
        <v>268</v>
      </c>
      <c r="I186" s="4" t="s">
        <v>716</v>
      </c>
      <c r="J186" s="53" t="s">
        <v>259</v>
      </c>
      <c r="K186" s="54" t="s">
        <v>29</v>
      </c>
      <c r="L186" s="4" t="s">
        <v>386</v>
      </c>
      <c r="M186" s="10"/>
      <c r="N186" s="4" t="s">
        <v>43</v>
      </c>
      <c r="O186" s="42" t="s">
        <v>1653</v>
      </c>
      <c r="P186" s="10"/>
      <c r="Q186" s="4">
        <v>14</v>
      </c>
      <c r="R186" s="4" t="s">
        <v>711</v>
      </c>
      <c r="S186" s="53" t="s">
        <v>717</v>
      </c>
      <c r="T186" s="10"/>
      <c r="U186" s="4" t="s">
        <v>386</v>
      </c>
      <c r="V186" s="10"/>
      <c r="W186" s="4" t="s">
        <v>60</v>
      </c>
      <c r="X186" s="4" t="s">
        <v>719</v>
      </c>
      <c r="Y186" s="4" t="s">
        <v>1654</v>
      </c>
      <c r="Z186" s="4" t="s">
        <v>721</v>
      </c>
      <c r="AA186" s="10"/>
      <c r="AB186" s="70" t="s">
        <v>21</v>
      </c>
      <c r="AC186" s="70" t="s">
        <v>1655</v>
      </c>
      <c r="AD186" s="70" t="s">
        <v>1656</v>
      </c>
      <c r="AE186" s="53"/>
      <c r="AF186" s="10"/>
      <c r="AG186" s="10"/>
      <c r="AH186" s="10"/>
      <c r="AI186" s="10"/>
      <c r="AJ186" s="10"/>
      <c r="AK186" s="10"/>
      <c r="AL186" s="10"/>
      <c r="AM186" s="10"/>
      <c r="AN186" s="10"/>
      <c r="AO186" s="10"/>
      <c r="AP186" s="10"/>
      <c r="AQ186" s="10"/>
      <c r="AR186" s="10"/>
      <c r="AS186" s="10"/>
    </row>
    <row r="187" spans="1:45" ht="14">
      <c r="A187" s="4" t="s">
        <v>65</v>
      </c>
      <c r="B187" s="4" t="s">
        <v>328</v>
      </c>
      <c r="C187" s="10"/>
      <c r="D187" s="4" t="s">
        <v>65</v>
      </c>
      <c r="E187" s="4" t="s">
        <v>736</v>
      </c>
      <c r="F187" s="4" t="s">
        <v>385</v>
      </c>
      <c r="G187" s="4" t="s">
        <v>386</v>
      </c>
      <c r="H187" s="4" t="s">
        <v>268</v>
      </c>
      <c r="I187" s="4" t="s">
        <v>737</v>
      </c>
      <c r="J187" s="53" t="s">
        <v>259</v>
      </c>
      <c r="K187" s="54" t="s">
        <v>32</v>
      </c>
      <c r="L187" s="4" t="s">
        <v>1651</v>
      </c>
      <c r="M187" s="10"/>
      <c r="N187" s="4" t="s">
        <v>43</v>
      </c>
      <c r="O187" s="42" t="s">
        <v>1657</v>
      </c>
      <c r="P187" s="10"/>
      <c r="Q187" s="4">
        <v>15</v>
      </c>
      <c r="R187" s="4" t="s">
        <v>731</v>
      </c>
      <c r="S187" s="53" t="s">
        <v>325</v>
      </c>
      <c r="T187" s="10"/>
      <c r="U187" s="4" t="s">
        <v>386</v>
      </c>
      <c r="V187" s="10"/>
      <c r="W187" s="4" t="s">
        <v>65</v>
      </c>
      <c r="X187" s="4" t="s">
        <v>739</v>
      </c>
      <c r="Y187" s="4" t="s">
        <v>740</v>
      </c>
      <c r="Z187" s="4" t="s">
        <v>741</v>
      </c>
      <c r="AA187" s="10"/>
      <c r="AB187" s="70" t="s">
        <v>21</v>
      </c>
      <c r="AC187" s="70" t="s">
        <v>1637</v>
      </c>
      <c r="AD187" s="70" t="s">
        <v>1658</v>
      </c>
      <c r="AE187" s="53" t="s">
        <v>1659</v>
      </c>
      <c r="AF187" s="10"/>
      <c r="AG187" s="10"/>
      <c r="AH187" s="10"/>
      <c r="AI187" s="10"/>
      <c r="AJ187" s="10"/>
      <c r="AK187" s="10"/>
      <c r="AL187" s="10"/>
      <c r="AM187" s="10"/>
      <c r="AN187" s="10"/>
      <c r="AO187" s="10"/>
      <c r="AP187" s="10"/>
      <c r="AQ187" s="10"/>
      <c r="AR187" s="10"/>
      <c r="AS187" s="10"/>
    </row>
    <row r="188" spans="1:45" ht="42">
      <c r="A188" s="4" t="s">
        <v>69</v>
      </c>
      <c r="B188" s="4" t="s">
        <v>432</v>
      </c>
      <c r="C188" s="10"/>
      <c r="D188" s="4" t="s">
        <v>69</v>
      </c>
      <c r="E188" s="4" t="s">
        <v>264</v>
      </c>
      <c r="F188" s="4" t="s">
        <v>265</v>
      </c>
      <c r="G188" s="4" t="s">
        <v>262</v>
      </c>
      <c r="H188" s="4" t="s">
        <v>409</v>
      </c>
      <c r="I188" s="42" t="s">
        <v>1660</v>
      </c>
      <c r="J188" s="53" t="s">
        <v>671</v>
      </c>
      <c r="K188" s="54" t="s">
        <v>32</v>
      </c>
      <c r="L188" s="4" t="s">
        <v>657</v>
      </c>
      <c r="M188" s="10"/>
      <c r="N188" s="4" t="s">
        <v>49</v>
      </c>
      <c r="O188" s="42" t="s">
        <v>325</v>
      </c>
      <c r="P188" s="10"/>
      <c r="Q188" s="4">
        <v>16</v>
      </c>
      <c r="R188" s="4" t="s">
        <v>692</v>
      </c>
      <c r="S188" s="53" t="s">
        <v>756</v>
      </c>
      <c r="T188" s="10"/>
      <c r="U188" s="4" t="s">
        <v>752</v>
      </c>
      <c r="V188" s="10"/>
      <c r="W188" s="4" t="s">
        <v>69</v>
      </c>
      <c r="X188" s="4" t="s">
        <v>270</v>
      </c>
      <c r="Y188" s="4" t="s">
        <v>760</v>
      </c>
      <c r="Z188" s="4" t="s">
        <v>1661</v>
      </c>
      <c r="AA188" s="10"/>
      <c r="AB188" s="70" t="s">
        <v>21</v>
      </c>
      <c r="AC188" s="70" t="s">
        <v>1619</v>
      </c>
      <c r="AD188" s="70"/>
      <c r="AE188" s="53"/>
      <c r="AF188" s="10"/>
      <c r="AG188" s="10"/>
      <c r="AH188" s="10"/>
      <c r="AI188" s="10"/>
      <c r="AJ188" s="10"/>
      <c r="AK188" s="10"/>
      <c r="AL188" s="10"/>
      <c r="AM188" s="10"/>
      <c r="AN188" s="10"/>
      <c r="AO188" s="10"/>
      <c r="AP188" s="10"/>
      <c r="AQ188" s="10"/>
      <c r="AR188" s="10"/>
      <c r="AS188" s="10"/>
    </row>
    <row r="189" spans="1:45" ht="42">
      <c r="A189" s="4" t="s">
        <v>72</v>
      </c>
      <c r="B189" s="4" t="s">
        <v>328</v>
      </c>
      <c r="C189" s="10"/>
      <c r="D189" s="4" t="s">
        <v>72</v>
      </c>
      <c r="E189" s="4" t="s">
        <v>264</v>
      </c>
      <c r="F189" s="4" t="s">
        <v>265</v>
      </c>
      <c r="G189" s="4" t="s">
        <v>265</v>
      </c>
      <c r="H189" s="4" t="s">
        <v>409</v>
      </c>
      <c r="I189" s="4" t="s">
        <v>1662</v>
      </c>
      <c r="J189" s="53" t="s">
        <v>671</v>
      </c>
      <c r="K189" s="54" t="s">
        <v>36</v>
      </c>
      <c r="L189" s="4" t="s">
        <v>386</v>
      </c>
      <c r="M189" s="10"/>
      <c r="N189" s="4" t="s">
        <v>53</v>
      </c>
      <c r="O189" s="42" t="s">
        <v>679</v>
      </c>
      <c r="P189" s="10"/>
      <c r="Q189" s="4">
        <v>17</v>
      </c>
      <c r="R189" s="4" t="s">
        <v>771</v>
      </c>
      <c r="S189" s="53" t="s">
        <v>779</v>
      </c>
      <c r="T189" s="10"/>
      <c r="U189" s="4" t="s">
        <v>775</v>
      </c>
      <c r="V189" s="10"/>
      <c r="W189" s="4" t="s">
        <v>72</v>
      </c>
      <c r="X189" s="4" t="s">
        <v>783</v>
      </c>
      <c r="Y189" s="4" t="s">
        <v>784</v>
      </c>
      <c r="Z189" s="4" t="s">
        <v>785</v>
      </c>
      <c r="AA189" s="10"/>
      <c r="AB189" s="70" t="s">
        <v>21</v>
      </c>
      <c r="AC189" s="70" t="s">
        <v>1615</v>
      </c>
      <c r="AD189" s="70"/>
      <c r="AE189" s="53"/>
      <c r="AF189" s="10"/>
      <c r="AG189" s="10"/>
      <c r="AH189" s="10"/>
      <c r="AI189" s="10"/>
      <c r="AJ189" s="10"/>
      <c r="AK189" s="10"/>
      <c r="AL189" s="10"/>
      <c r="AM189" s="10"/>
      <c r="AN189" s="10"/>
      <c r="AO189" s="10"/>
      <c r="AP189" s="10"/>
      <c r="AQ189" s="10"/>
      <c r="AR189" s="10"/>
      <c r="AS189" s="10"/>
    </row>
    <row r="190" spans="1:45" ht="28">
      <c r="A190" s="4" t="s">
        <v>75</v>
      </c>
      <c r="B190" s="4" t="s">
        <v>457</v>
      </c>
      <c r="C190" s="10"/>
      <c r="D190" s="4" t="s">
        <v>75</v>
      </c>
      <c r="E190" s="4" t="s">
        <v>264</v>
      </c>
      <c r="F190" s="4" t="s">
        <v>385</v>
      </c>
      <c r="G190" s="4" t="s">
        <v>386</v>
      </c>
      <c r="H190" s="4" t="s">
        <v>409</v>
      </c>
      <c r="I190" s="4" t="s">
        <v>386</v>
      </c>
      <c r="J190" s="53" t="s">
        <v>351</v>
      </c>
      <c r="K190" s="54" t="s">
        <v>39</v>
      </c>
      <c r="L190" s="4" t="s">
        <v>657</v>
      </c>
      <c r="M190" s="10"/>
      <c r="N190" s="4" t="s">
        <v>56</v>
      </c>
      <c r="O190" s="42" t="s">
        <v>325</v>
      </c>
      <c r="P190" s="10"/>
      <c r="Q190" s="4">
        <v>18</v>
      </c>
      <c r="R190" s="4" t="s">
        <v>378</v>
      </c>
      <c r="S190" s="53" t="s">
        <v>1663</v>
      </c>
      <c r="T190" s="10"/>
      <c r="U190" s="4" t="s">
        <v>1664</v>
      </c>
      <c r="V190" s="10"/>
      <c r="W190" s="4" t="s">
        <v>75</v>
      </c>
      <c r="X190" s="4" t="s">
        <v>270</v>
      </c>
      <c r="Y190" s="4" t="s">
        <v>801</v>
      </c>
      <c r="Z190" s="4" t="s">
        <v>802</v>
      </c>
      <c r="AA190" s="10"/>
      <c r="AB190" s="70" t="s">
        <v>21</v>
      </c>
      <c r="AC190" s="70" t="s">
        <v>1627</v>
      </c>
      <c r="AD190" s="70"/>
      <c r="AE190" s="53"/>
      <c r="AF190" s="10"/>
      <c r="AG190" s="10"/>
      <c r="AH190" s="10"/>
      <c r="AI190" s="10"/>
      <c r="AJ190" s="10"/>
      <c r="AK190" s="10"/>
      <c r="AL190" s="10"/>
      <c r="AM190" s="10"/>
      <c r="AN190" s="10"/>
      <c r="AO190" s="10"/>
      <c r="AP190" s="10"/>
      <c r="AQ190" s="10"/>
      <c r="AR190" s="10"/>
      <c r="AS190" s="10"/>
    </row>
    <row r="191" spans="1:45" ht="28">
      <c r="A191" s="4" t="s">
        <v>79</v>
      </c>
      <c r="B191" s="4" t="s">
        <v>328</v>
      </c>
      <c r="C191" s="10"/>
      <c r="D191" s="4" t="s">
        <v>79</v>
      </c>
      <c r="E191" s="4" t="s">
        <v>264</v>
      </c>
      <c r="F191" s="4" t="s">
        <v>385</v>
      </c>
      <c r="G191" s="4" t="s">
        <v>386</v>
      </c>
      <c r="H191" s="4" t="s">
        <v>268</v>
      </c>
      <c r="I191" s="4" t="s">
        <v>1622</v>
      </c>
      <c r="J191" s="53" t="s">
        <v>351</v>
      </c>
      <c r="K191" s="54" t="s">
        <v>39</v>
      </c>
      <c r="L191" s="4" t="s">
        <v>1623</v>
      </c>
      <c r="M191" s="10"/>
      <c r="N191" s="4" t="s">
        <v>60</v>
      </c>
      <c r="O191" s="42" t="s">
        <v>325</v>
      </c>
      <c r="P191" s="10"/>
      <c r="Q191" s="4">
        <v>19</v>
      </c>
      <c r="R191" s="4" t="s">
        <v>692</v>
      </c>
      <c r="S191" s="53" t="s">
        <v>325</v>
      </c>
      <c r="T191" s="10"/>
      <c r="U191" s="4" t="s">
        <v>325</v>
      </c>
      <c r="V191" s="10"/>
      <c r="W191" s="4" t="s">
        <v>79</v>
      </c>
      <c r="X191" s="4" t="s">
        <v>816</v>
      </c>
      <c r="Y191" s="4" t="s">
        <v>817</v>
      </c>
      <c r="Z191" s="4" t="s">
        <v>818</v>
      </c>
      <c r="AA191" s="10"/>
      <c r="AB191" s="70" t="s">
        <v>21</v>
      </c>
      <c r="AC191" s="70" t="s">
        <v>1665</v>
      </c>
      <c r="AD191" s="70"/>
      <c r="AE191" s="53"/>
      <c r="AF191" s="10"/>
      <c r="AG191" s="10"/>
      <c r="AH191" s="10"/>
      <c r="AI191" s="10"/>
      <c r="AJ191" s="10"/>
      <c r="AK191" s="10"/>
      <c r="AL191" s="10"/>
      <c r="AM191" s="10"/>
      <c r="AN191" s="10"/>
      <c r="AO191" s="10"/>
      <c r="AP191" s="10"/>
      <c r="AQ191" s="10"/>
      <c r="AR191" s="10"/>
      <c r="AS191" s="10"/>
    </row>
    <row r="192" spans="1:45" ht="42">
      <c r="A192" s="4" t="s">
        <v>84</v>
      </c>
      <c r="B192" s="4" t="s">
        <v>328</v>
      </c>
      <c r="C192" s="10"/>
      <c r="D192" s="4" t="s">
        <v>84</v>
      </c>
      <c r="E192" s="4" t="s">
        <v>264</v>
      </c>
      <c r="F192" s="4" t="s">
        <v>385</v>
      </c>
      <c r="G192" s="4" t="s">
        <v>386</v>
      </c>
      <c r="H192" s="4" t="s">
        <v>409</v>
      </c>
      <c r="I192" s="4" t="s">
        <v>1622</v>
      </c>
      <c r="J192" s="53" t="s">
        <v>259</v>
      </c>
      <c r="K192" s="54" t="s">
        <v>39</v>
      </c>
      <c r="L192" s="4" t="s">
        <v>387</v>
      </c>
      <c r="M192" s="10"/>
      <c r="N192" s="4" t="s">
        <v>65</v>
      </c>
      <c r="O192" s="42" t="s">
        <v>325</v>
      </c>
      <c r="P192" s="10"/>
      <c r="Q192" s="4">
        <v>20</v>
      </c>
      <c r="R192" s="4" t="s">
        <v>827</v>
      </c>
      <c r="S192" s="53" t="s">
        <v>834</v>
      </c>
      <c r="T192" s="10"/>
      <c r="U192" s="4" t="s">
        <v>830</v>
      </c>
      <c r="V192" s="10"/>
      <c r="W192" s="4" t="s">
        <v>84</v>
      </c>
      <c r="X192" s="4" t="s">
        <v>836</v>
      </c>
      <c r="Y192" s="4" t="s">
        <v>837</v>
      </c>
      <c r="Z192" s="4" t="s">
        <v>838</v>
      </c>
      <c r="AA192" s="10"/>
      <c r="AB192" s="70" t="s">
        <v>26</v>
      </c>
      <c r="AC192" s="70" t="s">
        <v>457</v>
      </c>
      <c r="AD192" s="70"/>
      <c r="AE192" s="53"/>
      <c r="AF192" s="10"/>
      <c r="AG192" s="10"/>
      <c r="AH192" s="10"/>
      <c r="AI192" s="10"/>
      <c r="AJ192" s="10"/>
      <c r="AK192" s="10"/>
      <c r="AL192" s="10"/>
      <c r="AM192" s="10"/>
      <c r="AN192" s="10"/>
      <c r="AO192" s="10"/>
      <c r="AP192" s="10"/>
      <c r="AQ192" s="10"/>
      <c r="AR192" s="10"/>
      <c r="AS192" s="10"/>
    </row>
    <row r="193" spans="1:45" ht="14">
      <c r="A193" s="4" t="s">
        <v>87</v>
      </c>
      <c r="B193" s="4" t="s">
        <v>457</v>
      </c>
      <c r="C193" s="10"/>
      <c r="D193" s="4" t="s">
        <v>87</v>
      </c>
      <c r="E193" s="4" t="s">
        <v>264</v>
      </c>
      <c r="F193" s="4" t="s">
        <v>385</v>
      </c>
      <c r="G193" s="4" t="s">
        <v>386</v>
      </c>
      <c r="H193" s="4" t="s">
        <v>409</v>
      </c>
      <c r="I193" s="4" t="s">
        <v>386</v>
      </c>
      <c r="J193" s="53" t="s">
        <v>259</v>
      </c>
      <c r="K193" s="54" t="s">
        <v>39</v>
      </c>
      <c r="L193" s="4" t="s">
        <v>1666</v>
      </c>
      <c r="M193" s="10"/>
      <c r="N193" s="4" t="s">
        <v>69</v>
      </c>
      <c r="O193" s="42" t="s">
        <v>1667</v>
      </c>
      <c r="P193" s="10"/>
      <c r="Q193" s="4">
        <v>21</v>
      </c>
      <c r="R193" s="4" t="s">
        <v>849</v>
      </c>
      <c r="S193" s="53" t="s">
        <v>325</v>
      </c>
      <c r="T193" s="10"/>
      <c r="U193" s="72" t="s">
        <v>851</v>
      </c>
      <c r="V193" s="10"/>
      <c r="W193" s="4" t="s">
        <v>87</v>
      </c>
      <c r="X193" s="4" t="s">
        <v>854</v>
      </c>
      <c r="Y193" s="4" t="s">
        <v>855</v>
      </c>
      <c r="Z193" s="4" t="s">
        <v>856</v>
      </c>
      <c r="AA193" s="10"/>
      <c r="AB193" s="70" t="s">
        <v>26</v>
      </c>
      <c r="AC193" s="70" t="s">
        <v>1615</v>
      </c>
      <c r="AD193" s="70"/>
      <c r="AE193" s="53"/>
      <c r="AF193" s="10"/>
      <c r="AG193" s="10"/>
      <c r="AH193" s="10"/>
      <c r="AI193" s="10"/>
      <c r="AJ193" s="10"/>
      <c r="AK193" s="10"/>
      <c r="AL193" s="10"/>
      <c r="AM193" s="10"/>
      <c r="AN193" s="10"/>
      <c r="AO193" s="10"/>
      <c r="AP193" s="10"/>
      <c r="AQ193" s="10"/>
      <c r="AR193" s="10"/>
      <c r="AS193" s="10"/>
    </row>
    <row r="194" spans="1:45" ht="42">
      <c r="A194" s="4" t="s">
        <v>91</v>
      </c>
      <c r="B194" s="4" t="s">
        <v>328</v>
      </c>
      <c r="C194" s="10"/>
      <c r="D194" s="4" t="s">
        <v>91</v>
      </c>
      <c r="E194" s="4" t="s">
        <v>264</v>
      </c>
      <c r="F194" s="4" t="s">
        <v>265</v>
      </c>
      <c r="G194" s="4" t="s">
        <v>265</v>
      </c>
      <c r="H194" s="4" t="s">
        <v>409</v>
      </c>
      <c r="I194" s="4" t="s">
        <v>1668</v>
      </c>
      <c r="J194" s="53" t="s">
        <v>671</v>
      </c>
      <c r="K194" s="54" t="s">
        <v>43</v>
      </c>
      <c r="L194" s="4" t="s">
        <v>386</v>
      </c>
      <c r="M194" s="10"/>
      <c r="N194" s="4" t="s">
        <v>72</v>
      </c>
      <c r="O194" s="42" t="s">
        <v>1669</v>
      </c>
      <c r="P194" s="10"/>
      <c r="Q194" s="4">
        <v>22</v>
      </c>
      <c r="R194" s="4" t="s">
        <v>868</v>
      </c>
      <c r="S194" s="53" t="s">
        <v>1670</v>
      </c>
      <c r="T194" s="10"/>
      <c r="U194" s="4" t="s">
        <v>871</v>
      </c>
      <c r="V194" s="10"/>
      <c r="W194" s="4" t="s">
        <v>91</v>
      </c>
      <c r="X194" s="4" t="s">
        <v>878</v>
      </c>
      <c r="Y194" s="4" t="s">
        <v>879</v>
      </c>
      <c r="Z194" s="4" t="s">
        <v>880</v>
      </c>
      <c r="AA194" s="10"/>
      <c r="AB194" s="70" t="s">
        <v>26</v>
      </c>
      <c r="AC194" s="70" t="s">
        <v>1627</v>
      </c>
      <c r="AD194" s="70"/>
      <c r="AE194" s="53"/>
      <c r="AF194" s="10"/>
      <c r="AG194" s="10"/>
      <c r="AH194" s="10"/>
      <c r="AI194" s="10"/>
      <c r="AJ194" s="10"/>
      <c r="AK194" s="10"/>
      <c r="AL194" s="10"/>
      <c r="AM194" s="10"/>
      <c r="AN194" s="10"/>
      <c r="AO194" s="10"/>
      <c r="AP194" s="10"/>
      <c r="AQ194" s="10"/>
      <c r="AR194" s="10"/>
      <c r="AS194" s="10"/>
    </row>
    <row r="195" spans="1:45" ht="56">
      <c r="A195" s="4" t="s">
        <v>91</v>
      </c>
      <c r="B195" s="4" t="s">
        <v>432</v>
      </c>
      <c r="C195" s="10"/>
      <c r="D195" s="4" t="s">
        <v>95</v>
      </c>
      <c r="E195" s="4" t="s">
        <v>264</v>
      </c>
      <c r="F195" s="4" t="s">
        <v>265</v>
      </c>
      <c r="G195" s="4" t="s">
        <v>265</v>
      </c>
      <c r="H195" s="4" t="s">
        <v>268</v>
      </c>
      <c r="I195" s="4" t="s">
        <v>899</v>
      </c>
      <c r="J195" s="53" t="s">
        <v>586</v>
      </c>
      <c r="K195" s="54" t="s">
        <v>49</v>
      </c>
      <c r="L195" s="4" t="s">
        <v>657</v>
      </c>
      <c r="M195" s="10"/>
      <c r="N195" s="4" t="s">
        <v>75</v>
      </c>
      <c r="O195" s="42" t="s">
        <v>386</v>
      </c>
      <c r="P195" s="10"/>
      <c r="Q195" s="4">
        <v>23</v>
      </c>
      <c r="R195" s="4" t="s">
        <v>692</v>
      </c>
      <c r="S195" s="53" t="s">
        <v>900</v>
      </c>
      <c r="T195" s="10"/>
      <c r="U195" s="4" t="s">
        <v>895</v>
      </c>
      <c r="V195" s="10"/>
      <c r="W195" s="4" t="s">
        <v>95</v>
      </c>
      <c r="X195" s="4" t="s">
        <v>903</v>
      </c>
      <c r="Y195" s="4" t="s">
        <v>904</v>
      </c>
      <c r="Z195" s="4" t="s">
        <v>905</v>
      </c>
      <c r="AA195" s="10"/>
      <c r="AB195" s="70" t="s">
        <v>26</v>
      </c>
      <c r="AC195" s="73" t="s">
        <v>1671</v>
      </c>
      <c r="AD195" s="70"/>
      <c r="AE195" s="53"/>
      <c r="AF195" s="10"/>
      <c r="AG195" s="10"/>
      <c r="AH195" s="10"/>
      <c r="AI195" s="10"/>
      <c r="AJ195" s="10"/>
      <c r="AK195" s="10"/>
      <c r="AL195" s="10"/>
      <c r="AM195" s="10"/>
      <c r="AN195" s="10"/>
      <c r="AO195" s="10"/>
      <c r="AP195" s="10"/>
      <c r="AQ195" s="10"/>
      <c r="AR195" s="10"/>
      <c r="AS195" s="10"/>
    </row>
    <row r="196" spans="1:45" ht="42">
      <c r="A196" s="4" t="s">
        <v>95</v>
      </c>
      <c r="B196" s="4" t="s">
        <v>328</v>
      </c>
      <c r="C196" s="10"/>
      <c r="D196" s="4" t="s">
        <v>98</v>
      </c>
      <c r="E196" s="4" t="s">
        <v>264</v>
      </c>
      <c r="F196" s="4" t="s">
        <v>385</v>
      </c>
      <c r="G196" s="4" t="s">
        <v>386</v>
      </c>
      <c r="H196" s="4" t="s">
        <v>268</v>
      </c>
      <c r="I196" s="4" t="s">
        <v>386</v>
      </c>
      <c r="J196" s="53" t="s">
        <v>919</v>
      </c>
      <c r="K196" s="54" t="s">
        <v>53</v>
      </c>
      <c r="L196" s="4" t="s">
        <v>1672</v>
      </c>
      <c r="M196" s="10"/>
      <c r="N196" s="4" t="s">
        <v>79</v>
      </c>
      <c r="O196" s="42" t="s">
        <v>1673</v>
      </c>
      <c r="P196" s="10"/>
      <c r="Q196" s="4">
        <v>24</v>
      </c>
      <c r="R196" s="4" t="s">
        <v>1674</v>
      </c>
      <c r="S196" s="53" t="s">
        <v>923</v>
      </c>
      <c r="T196" s="10"/>
      <c r="U196" s="4" t="s">
        <v>920</v>
      </c>
      <c r="V196" s="10"/>
      <c r="W196" s="4" t="s">
        <v>98</v>
      </c>
      <c r="X196" s="4" t="s">
        <v>1675</v>
      </c>
      <c r="Y196" s="4" t="s">
        <v>927</v>
      </c>
      <c r="Z196" s="4" t="s">
        <v>928</v>
      </c>
      <c r="AA196" s="10"/>
      <c r="AB196" s="70" t="s">
        <v>29</v>
      </c>
      <c r="AC196" s="70" t="s">
        <v>457</v>
      </c>
      <c r="AD196" s="70" t="s">
        <v>1644</v>
      </c>
      <c r="AE196" s="53" t="s">
        <v>1645</v>
      </c>
      <c r="AF196" s="10"/>
      <c r="AG196" s="10"/>
      <c r="AH196" s="10"/>
      <c r="AI196" s="10"/>
      <c r="AJ196" s="10"/>
      <c r="AK196" s="10"/>
      <c r="AL196" s="10"/>
      <c r="AM196" s="10"/>
      <c r="AN196" s="10"/>
      <c r="AO196" s="10"/>
      <c r="AP196" s="10"/>
      <c r="AQ196" s="10"/>
      <c r="AR196" s="10"/>
      <c r="AS196" s="10"/>
    </row>
    <row r="197" spans="1:45" ht="42">
      <c r="A197" s="4" t="s">
        <v>98</v>
      </c>
      <c r="B197" s="4" t="s">
        <v>432</v>
      </c>
      <c r="C197" s="10"/>
      <c r="D197" s="4" t="s">
        <v>102</v>
      </c>
      <c r="E197" s="4" t="s">
        <v>264</v>
      </c>
      <c r="F197" s="4" t="s">
        <v>385</v>
      </c>
      <c r="G197" s="4" t="s">
        <v>386</v>
      </c>
      <c r="H197" s="4" t="s">
        <v>268</v>
      </c>
      <c r="I197" s="4" t="s">
        <v>1622</v>
      </c>
      <c r="J197" s="53" t="s">
        <v>671</v>
      </c>
      <c r="K197" s="54" t="s">
        <v>53</v>
      </c>
      <c r="L197" s="4" t="s">
        <v>1666</v>
      </c>
      <c r="M197" s="10"/>
      <c r="N197" s="4" t="s">
        <v>79</v>
      </c>
      <c r="O197" s="42" t="s">
        <v>1347</v>
      </c>
      <c r="P197" s="10"/>
      <c r="Q197" s="4">
        <v>25</v>
      </c>
      <c r="R197" s="4" t="s">
        <v>937</v>
      </c>
      <c r="S197" s="53" t="s">
        <v>943</v>
      </c>
      <c r="T197" s="10"/>
      <c r="U197" s="4" t="s">
        <v>940</v>
      </c>
      <c r="V197" s="10"/>
      <c r="W197" s="4" t="s">
        <v>102</v>
      </c>
      <c r="X197" s="4" t="s">
        <v>947</v>
      </c>
      <c r="Y197" s="4" t="s">
        <v>948</v>
      </c>
      <c r="Z197" s="4" t="s">
        <v>949</v>
      </c>
      <c r="AA197" s="10"/>
      <c r="AB197" s="70" t="s">
        <v>29</v>
      </c>
      <c r="AC197" s="70" t="s">
        <v>1615</v>
      </c>
      <c r="AD197" s="70" t="s">
        <v>1676</v>
      </c>
      <c r="AE197" s="53" t="s">
        <v>1677</v>
      </c>
      <c r="AF197" s="10"/>
      <c r="AG197" s="10"/>
      <c r="AH197" s="10"/>
      <c r="AI197" s="10"/>
      <c r="AJ197" s="10"/>
      <c r="AK197" s="10"/>
      <c r="AL197" s="10"/>
      <c r="AM197" s="10"/>
      <c r="AN197" s="10"/>
      <c r="AO197" s="10"/>
      <c r="AP197" s="10"/>
      <c r="AQ197" s="10"/>
      <c r="AR197" s="10"/>
      <c r="AS197" s="10"/>
    </row>
    <row r="198" spans="1:45" ht="28">
      <c r="A198" s="4" t="s">
        <v>102</v>
      </c>
      <c r="B198" s="4" t="s">
        <v>432</v>
      </c>
      <c r="C198" s="10"/>
      <c r="D198" s="4" t="s">
        <v>106</v>
      </c>
      <c r="E198" s="4" t="s">
        <v>264</v>
      </c>
      <c r="F198" s="4" t="s">
        <v>262</v>
      </c>
      <c r="G198" s="4" t="s">
        <v>262</v>
      </c>
      <c r="H198" s="4" t="s">
        <v>409</v>
      </c>
      <c r="I198" s="4" t="s">
        <v>386</v>
      </c>
      <c r="J198" s="53" t="s">
        <v>259</v>
      </c>
      <c r="K198" s="54" t="s">
        <v>56</v>
      </c>
      <c r="L198" s="4" t="s">
        <v>657</v>
      </c>
      <c r="M198" s="10"/>
      <c r="N198" s="4" t="s">
        <v>84</v>
      </c>
      <c r="O198" s="42" t="s">
        <v>325</v>
      </c>
      <c r="P198" s="10"/>
      <c r="Q198" s="4">
        <v>26</v>
      </c>
      <c r="R198" s="4" t="s">
        <v>959</v>
      </c>
      <c r="S198" s="53" t="s">
        <v>1678</v>
      </c>
      <c r="T198" s="10"/>
      <c r="U198" s="4" t="s">
        <v>386</v>
      </c>
      <c r="V198" s="10"/>
      <c r="W198" s="4" t="s">
        <v>106</v>
      </c>
      <c r="X198" s="4" t="s">
        <v>270</v>
      </c>
      <c r="Y198" s="4" t="s">
        <v>965</v>
      </c>
      <c r="Z198" s="4" t="s">
        <v>270</v>
      </c>
      <c r="AA198" s="10"/>
      <c r="AB198" s="70" t="s">
        <v>29</v>
      </c>
      <c r="AC198" s="70" t="s">
        <v>1627</v>
      </c>
      <c r="AD198" s="70" t="s">
        <v>1679</v>
      </c>
      <c r="AE198" s="53"/>
      <c r="AF198" s="10"/>
      <c r="AG198" s="10"/>
      <c r="AH198" s="10"/>
      <c r="AI198" s="10"/>
      <c r="AJ198" s="10"/>
      <c r="AK198" s="10"/>
      <c r="AL198" s="10"/>
      <c r="AM198" s="10"/>
      <c r="AN198" s="10"/>
      <c r="AO198" s="10"/>
      <c r="AP198" s="10"/>
      <c r="AQ198" s="10"/>
      <c r="AR198" s="10"/>
      <c r="AS198" s="10"/>
    </row>
    <row r="199" spans="1:45" ht="42">
      <c r="A199" s="4" t="s">
        <v>106</v>
      </c>
      <c r="B199" s="4" t="s">
        <v>457</v>
      </c>
      <c r="C199" s="10"/>
      <c r="D199" s="4" t="s">
        <v>110</v>
      </c>
      <c r="E199" s="4" t="s">
        <v>264</v>
      </c>
      <c r="F199" s="4" t="s">
        <v>262</v>
      </c>
      <c r="G199" s="4" t="s">
        <v>262</v>
      </c>
      <c r="H199" s="4" t="s">
        <v>268</v>
      </c>
      <c r="I199" s="4" t="s">
        <v>986</v>
      </c>
      <c r="J199" s="53" t="s">
        <v>983</v>
      </c>
      <c r="K199" s="54" t="s">
        <v>56</v>
      </c>
      <c r="L199" s="4" t="s">
        <v>1636</v>
      </c>
      <c r="M199" s="10"/>
      <c r="N199" s="4" t="s">
        <v>87</v>
      </c>
      <c r="O199" s="42" t="s">
        <v>386</v>
      </c>
      <c r="P199" s="10"/>
      <c r="Q199" s="4">
        <v>27</v>
      </c>
      <c r="R199" s="4" t="s">
        <v>980</v>
      </c>
      <c r="S199" s="53" t="s">
        <v>987</v>
      </c>
      <c r="T199" s="10"/>
      <c r="U199" s="4" t="s">
        <v>325</v>
      </c>
      <c r="V199" s="10"/>
      <c r="W199" s="4" t="s">
        <v>110</v>
      </c>
      <c r="X199" s="4" t="s">
        <v>270</v>
      </c>
      <c r="Y199" s="4" t="s">
        <v>990</v>
      </c>
      <c r="Z199" s="4" t="s">
        <v>991</v>
      </c>
      <c r="AA199" s="10"/>
      <c r="AB199" s="70" t="s">
        <v>29</v>
      </c>
      <c r="AC199" s="70"/>
      <c r="AD199" s="70" t="s">
        <v>1680</v>
      </c>
      <c r="AE199" s="53"/>
      <c r="AF199" s="10"/>
      <c r="AG199" s="10"/>
      <c r="AH199" s="10"/>
      <c r="AI199" s="10"/>
      <c r="AJ199" s="10"/>
      <c r="AK199" s="10"/>
      <c r="AL199" s="10"/>
      <c r="AM199" s="10"/>
      <c r="AN199" s="10"/>
      <c r="AO199" s="10"/>
      <c r="AP199" s="10"/>
      <c r="AQ199" s="10"/>
      <c r="AR199" s="10"/>
      <c r="AS199" s="10"/>
    </row>
    <row r="200" spans="1:45" ht="42">
      <c r="A200" s="4" t="s">
        <v>110</v>
      </c>
      <c r="B200" s="4" t="s">
        <v>328</v>
      </c>
      <c r="C200" s="10"/>
      <c r="D200" s="4" t="s">
        <v>114</v>
      </c>
      <c r="E200" s="4" t="s">
        <v>264</v>
      </c>
      <c r="F200" s="4" t="s">
        <v>385</v>
      </c>
      <c r="G200" s="4" t="s">
        <v>386</v>
      </c>
      <c r="H200" s="4" t="s">
        <v>409</v>
      </c>
      <c r="I200" s="4" t="s">
        <v>386</v>
      </c>
      <c r="J200" s="53" t="s">
        <v>1005</v>
      </c>
      <c r="K200" s="54" t="s">
        <v>56</v>
      </c>
      <c r="L200" s="4" t="s">
        <v>1681</v>
      </c>
      <c r="M200" s="10"/>
      <c r="N200" s="4" t="s">
        <v>91</v>
      </c>
      <c r="O200" s="42" t="s">
        <v>325</v>
      </c>
      <c r="P200" s="10"/>
      <c r="Q200" s="4">
        <v>28</v>
      </c>
      <c r="R200" s="4" t="s">
        <v>1002</v>
      </c>
      <c r="S200" s="53" t="s">
        <v>1682</v>
      </c>
      <c r="T200" s="10"/>
      <c r="U200" s="4" t="s">
        <v>1006</v>
      </c>
      <c r="V200" s="10"/>
      <c r="W200" s="4" t="s">
        <v>114</v>
      </c>
      <c r="X200" s="4" t="s">
        <v>1013</v>
      </c>
      <c r="Y200" s="4" t="s">
        <v>1014</v>
      </c>
      <c r="Z200" s="4" t="s">
        <v>1015</v>
      </c>
      <c r="AA200" s="10"/>
      <c r="AB200" s="70" t="s">
        <v>32</v>
      </c>
      <c r="AC200" s="70" t="s">
        <v>1683</v>
      </c>
      <c r="AD200" s="70" t="s">
        <v>1684</v>
      </c>
      <c r="AE200" s="74" t="s">
        <v>1685</v>
      </c>
      <c r="AF200" s="10"/>
      <c r="AG200" s="10"/>
      <c r="AH200" s="10"/>
      <c r="AI200" s="10"/>
      <c r="AJ200" s="10"/>
      <c r="AK200" s="10"/>
      <c r="AL200" s="10"/>
      <c r="AM200" s="10"/>
      <c r="AN200" s="10"/>
      <c r="AO200" s="10"/>
      <c r="AP200" s="10"/>
      <c r="AQ200" s="10"/>
      <c r="AR200" s="10"/>
      <c r="AS200" s="10"/>
    </row>
    <row r="201" spans="1:45" ht="28">
      <c r="A201" s="4" t="s">
        <v>114</v>
      </c>
      <c r="B201" s="57" t="s">
        <v>432</v>
      </c>
      <c r="C201" s="10"/>
      <c r="D201" s="4" t="s">
        <v>119</v>
      </c>
      <c r="E201" s="4" t="s">
        <v>264</v>
      </c>
      <c r="F201" s="4" t="s">
        <v>385</v>
      </c>
      <c r="G201" s="4" t="s">
        <v>386</v>
      </c>
      <c r="H201" s="4" t="s">
        <v>409</v>
      </c>
      <c r="I201" s="4" t="s">
        <v>1622</v>
      </c>
      <c r="J201" s="53" t="s">
        <v>351</v>
      </c>
      <c r="K201" s="54" t="s">
        <v>56</v>
      </c>
      <c r="L201" s="4" t="s">
        <v>1623</v>
      </c>
      <c r="M201" s="10"/>
      <c r="N201" s="4" t="s">
        <v>95</v>
      </c>
      <c r="O201" s="42" t="s">
        <v>325</v>
      </c>
      <c r="P201" s="10"/>
      <c r="Q201" s="4">
        <v>29</v>
      </c>
      <c r="R201" s="4" t="s">
        <v>1686</v>
      </c>
      <c r="S201" s="53" t="s">
        <v>1031</v>
      </c>
      <c r="T201" s="10"/>
      <c r="U201" s="4" t="s">
        <v>386</v>
      </c>
      <c r="V201" s="10"/>
      <c r="W201" s="4" t="s">
        <v>119</v>
      </c>
      <c r="X201" s="4" t="s">
        <v>270</v>
      </c>
      <c r="Y201" s="4" t="s">
        <v>1033</v>
      </c>
      <c r="Z201" s="4" t="s">
        <v>270</v>
      </c>
      <c r="AA201" s="10"/>
      <c r="AB201" s="70" t="s">
        <v>32</v>
      </c>
      <c r="AC201" s="70" t="s">
        <v>1687</v>
      </c>
      <c r="AD201" s="70" t="s">
        <v>1688</v>
      </c>
      <c r="AE201" s="53" t="s">
        <v>1689</v>
      </c>
      <c r="AF201" s="10"/>
      <c r="AG201" s="10"/>
      <c r="AH201" s="10"/>
      <c r="AI201" s="10"/>
      <c r="AJ201" s="10"/>
      <c r="AK201" s="10"/>
      <c r="AL201" s="10"/>
      <c r="AM201" s="10"/>
      <c r="AN201" s="10"/>
      <c r="AO201" s="10"/>
      <c r="AP201" s="10"/>
      <c r="AQ201" s="10"/>
      <c r="AR201" s="10"/>
      <c r="AS201" s="10"/>
    </row>
    <row r="202" spans="1:45" ht="42">
      <c r="A202" s="4" t="s">
        <v>114</v>
      </c>
      <c r="B202" s="4" t="s">
        <v>1690</v>
      </c>
      <c r="C202" s="10"/>
      <c r="D202" s="4" t="s">
        <v>124</v>
      </c>
      <c r="E202" s="4" t="s">
        <v>264</v>
      </c>
      <c r="F202" s="4" t="s">
        <v>385</v>
      </c>
      <c r="G202" s="4" t="s">
        <v>386</v>
      </c>
      <c r="H202" s="4" t="s">
        <v>268</v>
      </c>
      <c r="I202" s="4" t="s">
        <v>386</v>
      </c>
      <c r="J202" s="53" t="s">
        <v>351</v>
      </c>
      <c r="K202" s="54" t="s">
        <v>56</v>
      </c>
      <c r="L202" s="4" t="s">
        <v>1691</v>
      </c>
      <c r="M202" s="10"/>
      <c r="N202" s="4" t="s">
        <v>98</v>
      </c>
      <c r="O202" s="42" t="s">
        <v>924</v>
      </c>
      <c r="P202" s="10"/>
      <c r="Q202" s="4">
        <v>30</v>
      </c>
      <c r="R202" s="4" t="s">
        <v>1044</v>
      </c>
      <c r="S202" s="53" t="s">
        <v>1692</v>
      </c>
      <c r="T202" s="10"/>
      <c r="U202" s="4" t="s">
        <v>1693</v>
      </c>
      <c r="V202" s="10"/>
      <c r="W202" s="4" t="s">
        <v>124</v>
      </c>
      <c r="X202" s="4" t="s">
        <v>1053</v>
      </c>
      <c r="Y202" s="4" t="s">
        <v>1054</v>
      </c>
      <c r="Z202" s="4" t="s">
        <v>1055</v>
      </c>
      <c r="AA202" s="10"/>
      <c r="AB202" s="70" t="s">
        <v>32</v>
      </c>
      <c r="AC202" s="70" t="s">
        <v>1694</v>
      </c>
      <c r="AD202" s="70"/>
      <c r="AE202" s="53"/>
      <c r="AF202" s="10"/>
      <c r="AG202" s="10"/>
      <c r="AH202" s="10"/>
      <c r="AI202" s="10"/>
      <c r="AJ202" s="10"/>
      <c r="AK202" s="10"/>
      <c r="AL202" s="10"/>
      <c r="AM202" s="10"/>
      <c r="AN202" s="10"/>
      <c r="AO202" s="10"/>
      <c r="AP202" s="10"/>
      <c r="AQ202" s="10"/>
      <c r="AR202" s="10"/>
      <c r="AS202" s="10"/>
    </row>
    <row r="203" spans="1:45" ht="14">
      <c r="A203" s="4" t="s">
        <v>119</v>
      </c>
      <c r="B203" s="4" t="s">
        <v>328</v>
      </c>
      <c r="C203" s="10"/>
      <c r="D203" s="4" t="s">
        <v>129</v>
      </c>
      <c r="E203" s="4" t="s">
        <v>736</v>
      </c>
      <c r="F203" s="4" t="s">
        <v>262</v>
      </c>
      <c r="G203" s="4" t="s">
        <v>262</v>
      </c>
      <c r="H203" s="4" t="s">
        <v>268</v>
      </c>
      <c r="I203" s="4" t="s">
        <v>386</v>
      </c>
      <c r="J203" s="53" t="s">
        <v>351</v>
      </c>
      <c r="K203" s="54" t="s">
        <v>56</v>
      </c>
      <c r="L203" s="61" t="s">
        <v>1631</v>
      </c>
      <c r="M203" s="10"/>
      <c r="N203" s="4" t="s">
        <v>102</v>
      </c>
      <c r="O203" s="42" t="s">
        <v>1624</v>
      </c>
      <c r="P203" s="10"/>
      <c r="Q203" s="4">
        <v>31</v>
      </c>
      <c r="R203" s="4" t="s">
        <v>1064</v>
      </c>
      <c r="S203" s="53" t="s">
        <v>1072</v>
      </c>
      <c r="T203" s="10"/>
      <c r="U203" s="4" t="s">
        <v>1068</v>
      </c>
      <c r="V203" s="10"/>
      <c r="W203" s="4" t="s">
        <v>129</v>
      </c>
      <c r="X203" s="4" t="s">
        <v>270</v>
      </c>
      <c r="Y203" s="4" t="s">
        <v>1076</v>
      </c>
      <c r="Z203" s="4" t="s">
        <v>1077</v>
      </c>
      <c r="AA203" s="10"/>
      <c r="AB203" s="70" t="s">
        <v>36</v>
      </c>
      <c r="AC203" s="70" t="s">
        <v>457</v>
      </c>
      <c r="AD203" s="70" t="s">
        <v>1695</v>
      </c>
      <c r="AE203" s="53" t="s">
        <v>1689</v>
      </c>
      <c r="AF203" s="10"/>
      <c r="AG203" s="10"/>
      <c r="AH203" s="10"/>
      <c r="AI203" s="10"/>
      <c r="AJ203" s="10"/>
      <c r="AK203" s="10"/>
      <c r="AL203" s="10"/>
      <c r="AM203" s="10"/>
      <c r="AN203" s="10"/>
      <c r="AO203" s="10"/>
      <c r="AP203" s="10"/>
      <c r="AQ203" s="10"/>
      <c r="AR203" s="10"/>
      <c r="AS203" s="10"/>
    </row>
    <row r="204" spans="1:45" ht="56">
      <c r="A204" s="4" t="s">
        <v>124</v>
      </c>
      <c r="B204" s="4" t="s">
        <v>328</v>
      </c>
      <c r="C204" s="10"/>
      <c r="D204" s="4" t="s">
        <v>132</v>
      </c>
      <c r="E204" s="4" t="s">
        <v>264</v>
      </c>
      <c r="F204" s="4" t="s">
        <v>265</v>
      </c>
      <c r="G204" s="4" t="s">
        <v>262</v>
      </c>
      <c r="H204" s="4" t="s">
        <v>409</v>
      </c>
      <c r="I204" s="4" t="s">
        <v>386</v>
      </c>
      <c r="J204" s="53" t="s">
        <v>1090</v>
      </c>
      <c r="K204" s="54" t="s">
        <v>56</v>
      </c>
      <c r="L204" s="61" t="s">
        <v>1696</v>
      </c>
      <c r="M204" s="10"/>
      <c r="N204" s="4" t="s">
        <v>102</v>
      </c>
      <c r="O204" s="42" t="s">
        <v>1697</v>
      </c>
      <c r="P204" s="10"/>
      <c r="Q204" s="4">
        <v>32</v>
      </c>
      <c r="R204" s="4" t="s">
        <v>1088</v>
      </c>
      <c r="S204" s="53" t="s">
        <v>1698</v>
      </c>
      <c r="T204" s="10"/>
      <c r="U204" s="4" t="s">
        <v>325</v>
      </c>
      <c r="V204" s="10"/>
      <c r="W204" s="4" t="s">
        <v>132</v>
      </c>
      <c r="X204" s="4" t="s">
        <v>1095</v>
      </c>
      <c r="Y204" s="4" t="s">
        <v>1096</v>
      </c>
      <c r="Z204" s="4" t="s">
        <v>1097</v>
      </c>
      <c r="AA204" s="10"/>
      <c r="AB204" s="70" t="s">
        <v>36</v>
      </c>
      <c r="AC204" s="70" t="s">
        <v>1647</v>
      </c>
      <c r="AD204" s="70" t="s">
        <v>1699</v>
      </c>
      <c r="AE204" s="53" t="s">
        <v>1629</v>
      </c>
      <c r="AF204" s="10"/>
      <c r="AG204" s="10"/>
      <c r="AH204" s="10"/>
      <c r="AI204" s="10"/>
      <c r="AJ204" s="10"/>
      <c r="AK204" s="10"/>
      <c r="AL204" s="10"/>
      <c r="AM204" s="10"/>
      <c r="AN204" s="10"/>
      <c r="AO204" s="10"/>
      <c r="AP204" s="10"/>
      <c r="AQ204" s="10"/>
      <c r="AR204" s="10"/>
      <c r="AS204" s="10"/>
    </row>
    <row r="205" spans="1:45" ht="28">
      <c r="A205" s="4" t="s">
        <v>129</v>
      </c>
      <c r="B205" s="4" t="s">
        <v>432</v>
      </c>
      <c r="C205" s="10"/>
      <c r="D205" s="4" t="s">
        <v>136</v>
      </c>
      <c r="E205" s="4" t="s">
        <v>736</v>
      </c>
      <c r="F205" s="4" t="s">
        <v>262</v>
      </c>
      <c r="G205" s="4" t="s">
        <v>262</v>
      </c>
      <c r="H205" s="4" t="s">
        <v>268</v>
      </c>
      <c r="I205" s="4" t="s">
        <v>1113</v>
      </c>
      <c r="J205" s="53" t="s">
        <v>259</v>
      </c>
      <c r="K205" s="54" t="s">
        <v>60</v>
      </c>
      <c r="L205" s="4" t="s">
        <v>325</v>
      </c>
      <c r="M205" s="10"/>
      <c r="N205" s="4" t="s">
        <v>102</v>
      </c>
      <c r="O205" s="42" t="s">
        <v>1700</v>
      </c>
      <c r="P205" s="10"/>
      <c r="Q205" s="4">
        <v>33</v>
      </c>
      <c r="R205" s="4" t="s">
        <v>378</v>
      </c>
      <c r="S205" s="53" t="s">
        <v>1114</v>
      </c>
      <c r="T205" s="10"/>
      <c r="U205" s="4" t="s">
        <v>386</v>
      </c>
      <c r="V205" s="10"/>
      <c r="W205" s="4" t="s">
        <v>136</v>
      </c>
      <c r="X205" s="4" t="s">
        <v>270</v>
      </c>
      <c r="Y205" s="57" t="s">
        <v>1117</v>
      </c>
      <c r="Z205" s="57" t="s">
        <v>1118</v>
      </c>
      <c r="AA205" s="10"/>
      <c r="AB205" s="70" t="s">
        <v>36</v>
      </c>
      <c r="AC205" s="70" t="s">
        <v>1627</v>
      </c>
      <c r="AD205" s="70"/>
      <c r="AE205" s="53"/>
      <c r="AF205" s="10"/>
      <c r="AG205" s="10"/>
      <c r="AH205" s="10"/>
      <c r="AI205" s="10"/>
      <c r="AJ205" s="10"/>
      <c r="AK205" s="10"/>
      <c r="AL205" s="10"/>
      <c r="AM205" s="10"/>
      <c r="AN205" s="10"/>
      <c r="AO205" s="10"/>
      <c r="AP205" s="10"/>
      <c r="AQ205" s="10"/>
      <c r="AR205" s="10"/>
      <c r="AS205" s="10"/>
    </row>
    <row r="206" spans="1:45" ht="42">
      <c r="A206" s="4" t="s">
        <v>132</v>
      </c>
      <c r="B206" s="4" t="s">
        <v>457</v>
      </c>
      <c r="C206" s="10"/>
      <c r="D206" s="4" t="s">
        <v>140</v>
      </c>
      <c r="E206" s="4" t="s">
        <v>264</v>
      </c>
      <c r="F206" s="4" t="s">
        <v>265</v>
      </c>
      <c r="G206" s="4" t="s">
        <v>265</v>
      </c>
      <c r="H206" s="4" t="s">
        <v>268</v>
      </c>
      <c r="I206" s="4" t="s">
        <v>1138</v>
      </c>
      <c r="J206" s="53" t="s">
        <v>1134</v>
      </c>
      <c r="K206" s="54" t="s">
        <v>65</v>
      </c>
      <c r="L206" s="4" t="s">
        <v>325</v>
      </c>
      <c r="M206" s="10"/>
      <c r="N206" s="4" t="s">
        <v>106</v>
      </c>
      <c r="O206" s="42" t="s">
        <v>386</v>
      </c>
      <c r="P206" s="10"/>
      <c r="Q206" s="4">
        <v>34</v>
      </c>
      <c r="R206" s="4" t="s">
        <v>1130</v>
      </c>
      <c r="S206" s="53" t="s">
        <v>1701</v>
      </c>
      <c r="T206" s="10"/>
      <c r="U206" s="4" t="s">
        <v>1364</v>
      </c>
      <c r="V206" s="10"/>
      <c r="W206" s="4" t="s">
        <v>140</v>
      </c>
      <c r="X206" s="4" t="s">
        <v>1142</v>
      </c>
      <c r="Y206" s="4" t="s">
        <v>1702</v>
      </c>
      <c r="Z206" s="4" t="s">
        <v>1144</v>
      </c>
      <c r="AA206" s="10"/>
      <c r="AB206" s="70" t="s">
        <v>39</v>
      </c>
      <c r="AC206" s="70" t="s">
        <v>1703</v>
      </c>
      <c r="AD206" s="70" t="s">
        <v>1704</v>
      </c>
      <c r="AE206" s="53" t="s">
        <v>1705</v>
      </c>
      <c r="AF206" s="10"/>
      <c r="AG206" s="10"/>
      <c r="AH206" s="10"/>
      <c r="AI206" s="10"/>
      <c r="AJ206" s="10"/>
      <c r="AK206" s="10"/>
      <c r="AL206" s="10"/>
      <c r="AM206" s="10"/>
      <c r="AN206" s="10"/>
      <c r="AO206" s="10"/>
      <c r="AP206" s="10"/>
      <c r="AQ206" s="10"/>
      <c r="AR206" s="10"/>
      <c r="AS206" s="10"/>
    </row>
    <row r="207" spans="1:45" ht="42">
      <c r="A207" s="4" t="s">
        <v>136</v>
      </c>
      <c r="B207" s="4" t="s">
        <v>328</v>
      </c>
      <c r="C207" s="10"/>
      <c r="D207" s="4" t="s">
        <v>144</v>
      </c>
      <c r="E207" s="4" t="s">
        <v>1160</v>
      </c>
      <c r="F207" s="4" t="s">
        <v>265</v>
      </c>
      <c r="G207" s="4" t="s">
        <v>265</v>
      </c>
      <c r="H207" s="4" t="s">
        <v>268</v>
      </c>
      <c r="I207" s="4" t="s">
        <v>1706</v>
      </c>
      <c r="J207" s="53" t="s">
        <v>671</v>
      </c>
      <c r="K207" s="54" t="s">
        <v>69</v>
      </c>
      <c r="L207" s="4" t="s">
        <v>657</v>
      </c>
      <c r="M207" s="10"/>
      <c r="N207" s="4" t="s">
        <v>110</v>
      </c>
      <c r="O207" s="42" t="s">
        <v>325</v>
      </c>
      <c r="P207" s="10"/>
      <c r="Q207" s="4">
        <v>35</v>
      </c>
      <c r="R207" s="4" t="s">
        <v>1153</v>
      </c>
      <c r="S207" s="53" t="s">
        <v>1162</v>
      </c>
      <c r="T207" s="10"/>
      <c r="U207" s="4" t="s">
        <v>1157</v>
      </c>
      <c r="V207" s="10"/>
      <c r="W207" s="4" t="s">
        <v>144</v>
      </c>
      <c r="X207" s="4" t="s">
        <v>1165</v>
      </c>
      <c r="Y207" s="4" t="s">
        <v>1166</v>
      </c>
      <c r="Z207" s="4" t="s">
        <v>1167</v>
      </c>
      <c r="AA207" s="10"/>
      <c r="AB207" s="70" t="s">
        <v>39</v>
      </c>
      <c r="AC207" s="70" t="s">
        <v>1694</v>
      </c>
      <c r="AD207" s="70" t="s">
        <v>1707</v>
      </c>
      <c r="AE207" s="53" t="s">
        <v>1677</v>
      </c>
      <c r="AF207" s="10"/>
      <c r="AG207" s="10"/>
      <c r="AH207" s="10"/>
      <c r="AI207" s="10"/>
      <c r="AJ207" s="10"/>
      <c r="AK207" s="10"/>
      <c r="AL207" s="10"/>
      <c r="AM207" s="10"/>
      <c r="AN207" s="10"/>
      <c r="AO207" s="10"/>
      <c r="AP207" s="10"/>
      <c r="AQ207" s="10"/>
      <c r="AR207" s="10"/>
      <c r="AS207" s="10"/>
    </row>
    <row r="208" spans="1:45" ht="56">
      <c r="A208" s="4" t="s">
        <v>140</v>
      </c>
      <c r="B208" s="4" t="s">
        <v>432</v>
      </c>
      <c r="C208" s="10"/>
      <c r="D208" s="4" t="s">
        <v>147</v>
      </c>
      <c r="E208" s="4" t="s">
        <v>264</v>
      </c>
      <c r="F208" s="4" t="s">
        <v>385</v>
      </c>
      <c r="G208" s="4" t="s">
        <v>386</v>
      </c>
      <c r="H208" s="4" t="s">
        <v>268</v>
      </c>
      <c r="I208" s="4" t="s">
        <v>1184</v>
      </c>
      <c r="J208" s="53" t="s">
        <v>1181</v>
      </c>
      <c r="K208" s="54" t="s">
        <v>69</v>
      </c>
      <c r="L208" s="4" t="s">
        <v>1708</v>
      </c>
      <c r="M208" s="10"/>
      <c r="N208" s="4" t="s">
        <v>114</v>
      </c>
      <c r="O208" s="42" t="s">
        <v>1618</v>
      </c>
      <c r="P208" s="10"/>
      <c r="Q208" s="4">
        <v>36</v>
      </c>
      <c r="R208" s="4" t="s">
        <v>1177</v>
      </c>
      <c r="S208" s="53" t="s">
        <v>1185</v>
      </c>
      <c r="T208" s="10"/>
      <c r="U208" s="4" t="s">
        <v>1182</v>
      </c>
      <c r="V208" s="10"/>
      <c r="W208" s="4" t="s">
        <v>147</v>
      </c>
      <c r="X208" s="4" t="s">
        <v>1709</v>
      </c>
      <c r="Y208" s="4" t="s">
        <v>1710</v>
      </c>
      <c r="Z208" s="4" t="s">
        <v>1189</v>
      </c>
      <c r="AA208" s="10"/>
      <c r="AB208" s="70" t="s">
        <v>39</v>
      </c>
      <c r="AC208" s="70" t="s">
        <v>1687</v>
      </c>
      <c r="AD208" s="70"/>
      <c r="AE208" s="53"/>
      <c r="AF208" s="10"/>
      <c r="AG208" s="10"/>
      <c r="AH208" s="10"/>
      <c r="AI208" s="10"/>
      <c r="AJ208" s="10"/>
      <c r="AK208" s="10"/>
      <c r="AL208" s="10"/>
      <c r="AM208" s="10"/>
      <c r="AN208" s="10"/>
      <c r="AO208" s="10"/>
      <c r="AP208" s="10"/>
      <c r="AQ208" s="10"/>
      <c r="AR208" s="10"/>
      <c r="AS208" s="10"/>
    </row>
    <row r="209" spans="1:45" ht="56">
      <c r="A209" s="4" t="s">
        <v>144</v>
      </c>
      <c r="B209" s="4" t="s">
        <v>432</v>
      </c>
      <c r="C209" s="10"/>
      <c r="D209" s="4" t="s">
        <v>151</v>
      </c>
      <c r="E209" s="4" t="s">
        <v>264</v>
      </c>
      <c r="F209" s="4" t="s">
        <v>385</v>
      </c>
      <c r="G209" s="4" t="s">
        <v>386</v>
      </c>
      <c r="H209" s="4" t="s">
        <v>268</v>
      </c>
      <c r="I209" s="4" t="s">
        <v>1205</v>
      </c>
      <c r="J209" s="53" t="s">
        <v>671</v>
      </c>
      <c r="K209" s="54" t="s">
        <v>72</v>
      </c>
      <c r="L209" s="4" t="s">
        <v>657</v>
      </c>
      <c r="M209" s="10"/>
      <c r="N209" s="4" t="s">
        <v>114</v>
      </c>
      <c r="O209" s="42" t="s">
        <v>1711</v>
      </c>
      <c r="P209" s="10"/>
      <c r="Q209" s="4">
        <v>37</v>
      </c>
      <c r="R209" s="4" t="s">
        <v>1199</v>
      </c>
      <c r="S209" s="53" t="s">
        <v>1712</v>
      </c>
      <c r="T209" s="10"/>
      <c r="U209" s="4" t="s">
        <v>1203</v>
      </c>
      <c r="V209" s="10"/>
      <c r="W209" s="4" t="s">
        <v>151</v>
      </c>
      <c r="X209" s="4" t="s">
        <v>270</v>
      </c>
      <c r="Y209" s="4" t="s">
        <v>1210</v>
      </c>
      <c r="Z209" s="4" t="s">
        <v>1211</v>
      </c>
      <c r="AA209" s="10"/>
      <c r="AB209" s="70" t="s">
        <v>43</v>
      </c>
      <c r="AC209" s="70" t="s">
        <v>1647</v>
      </c>
      <c r="AD209" s="70" t="s">
        <v>1713</v>
      </c>
      <c r="AE209" s="53" t="s">
        <v>1677</v>
      </c>
      <c r="AF209" s="10"/>
      <c r="AG209" s="10"/>
      <c r="AH209" s="10"/>
      <c r="AI209" s="10"/>
      <c r="AJ209" s="10"/>
      <c r="AK209" s="10"/>
      <c r="AL209" s="10"/>
      <c r="AM209" s="10"/>
      <c r="AN209" s="10"/>
      <c r="AO209" s="10"/>
      <c r="AP209" s="10"/>
      <c r="AQ209" s="10"/>
      <c r="AR209" s="10"/>
      <c r="AS209" s="10"/>
    </row>
    <row r="210" spans="1:45" ht="42">
      <c r="A210" s="4" t="s">
        <v>144</v>
      </c>
      <c r="B210" s="4" t="s">
        <v>328</v>
      </c>
      <c r="C210" s="10"/>
      <c r="D210" s="4" t="s">
        <v>155</v>
      </c>
      <c r="E210" s="4" t="s">
        <v>264</v>
      </c>
      <c r="F210" s="4" t="s">
        <v>385</v>
      </c>
      <c r="G210" s="4" t="s">
        <v>386</v>
      </c>
      <c r="H210" s="4" t="s">
        <v>268</v>
      </c>
      <c r="I210" s="4" t="s">
        <v>1229</v>
      </c>
      <c r="J210" s="53" t="s">
        <v>671</v>
      </c>
      <c r="K210" s="54" t="s">
        <v>75</v>
      </c>
      <c r="L210" s="4" t="s">
        <v>386</v>
      </c>
      <c r="M210" s="10"/>
      <c r="N210" s="4" t="s">
        <v>114</v>
      </c>
      <c r="O210" s="42" t="s">
        <v>1714</v>
      </c>
      <c r="P210" s="10"/>
      <c r="Q210" s="4">
        <v>38</v>
      </c>
      <c r="R210" s="4" t="s">
        <v>1222</v>
      </c>
      <c r="S210" s="53" t="s">
        <v>1230</v>
      </c>
      <c r="T210" s="10"/>
      <c r="U210" s="4" t="s">
        <v>1226</v>
      </c>
      <c r="V210" s="10"/>
      <c r="W210" s="4" t="s">
        <v>155</v>
      </c>
      <c r="X210" s="4" t="s">
        <v>325</v>
      </c>
      <c r="Y210" s="4" t="s">
        <v>1234</v>
      </c>
      <c r="Z210" s="4" t="s">
        <v>1235</v>
      </c>
      <c r="AA210" s="10"/>
      <c r="AB210" s="70" t="s">
        <v>43</v>
      </c>
      <c r="AC210" s="70"/>
      <c r="AD210" s="71" t="s">
        <v>1715</v>
      </c>
      <c r="AE210" s="53"/>
      <c r="AF210" s="10"/>
      <c r="AG210" s="10"/>
      <c r="AH210" s="10"/>
      <c r="AI210" s="10"/>
      <c r="AJ210" s="10"/>
      <c r="AK210" s="10"/>
      <c r="AL210" s="10"/>
      <c r="AM210" s="10"/>
      <c r="AN210" s="10"/>
      <c r="AO210" s="10"/>
      <c r="AP210" s="10"/>
      <c r="AQ210" s="10"/>
      <c r="AR210" s="10"/>
      <c r="AS210" s="10"/>
    </row>
    <row r="211" spans="1:45" ht="70">
      <c r="A211" s="4" t="s">
        <v>144</v>
      </c>
      <c r="B211" s="4" t="s">
        <v>1690</v>
      </c>
      <c r="C211" s="10"/>
      <c r="D211" s="4" t="s">
        <v>159</v>
      </c>
      <c r="E211" s="4" t="s">
        <v>264</v>
      </c>
      <c r="F211" s="4" t="s">
        <v>265</v>
      </c>
      <c r="G211" s="4" t="s">
        <v>265</v>
      </c>
      <c r="H211" s="4" t="s">
        <v>268</v>
      </c>
      <c r="I211" s="4" t="s">
        <v>1250</v>
      </c>
      <c r="J211" s="53" t="s">
        <v>1248</v>
      </c>
      <c r="K211" s="54" t="s">
        <v>79</v>
      </c>
      <c r="L211" s="4" t="s">
        <v>1631</v>
      </c>
      <c r="M211" s="10"/>
      <c r="N211" s="4" t="s">
        <v>119</v>
      </c>
      <c r="O211" s="42" t="s">
        <v>325</v>
      </c>
      <c r="P211" s="10"/>
      <c r="Q211" s="4">
        <v>39</v>
      </c>
      <c r="R211" s="4" t="s">
        <v>1245</v>
      </c>
      <c r="S211" s="53" t="s">
        <v>1716</v>
      </c>
      <c r="T211" s="10"/>
      <c r="U211" s="4" t="s">
        <v>325</v>
      </c>
      <c r="V211" s="10"/>
      <c r="W211" s="4" t="s">
        <v>159</v>
      </c>
      <c r="X211" s="4" t="s">
        <v>1254</v>
      </c>
      <c r="Y211" s="4" t="s">
        <v>1717</v>
      </c>
      <c r="Z211" s="4" t="s">
        <v>1256</v>
      </c>
      <c r="AA211" s="10"/>
      <c r="AB211" s="70" t="s">
        <v>43</v>
      </c>
      <c r="AC211" s="70"/>
      <c r="AD211" s="70" t="s">
        <v>1718</v>
      </c>
      <c r="AE211" s="53"/>
      <c r="AF211" s="10"/>
      <c r="AG211" s="10"/>
      <c r="AH211" s="10"/>
      <c r="AI211" s="10"/>
      <c r="AJ211" s="10"/>
      <c r="AK211" s="10"/>
      <c r="AL211" s="10"/>
      <c r="AM211" s="10"/>
      <c r="AN211" s="10"/>
      <c r="AO211" s="10"/>
      <c r="AP211" s="10"/>
      <c r="AQ211" s="10"/>
      <c r="AR211" s="10"/>
      <c r="AS211" s="10"/>
    </row>
    <row r="212" spans="1:45" ht="28">
      <c r="A212" s="4" t="s">
        <v>147</v>
      </c>
      <c r="B212" s="4" t="s">
        <v>328</v>
      </c>
      <c r="C212" s="10"/>
      <c r="D212" s="4" t="s">
        <v>163</v>
      </c>
      <c r="E212" s="4" t="s">
        <v>264</v>
      </c>
      <c r="F212" s="4" t="s">
        <v>385</v>
      </c>
      <c r="G212" s="4" t="s">
        <v>386</v>
      </c>
      <c r="H212" s="4" t="s">
        <v>268</v>
      </c>
      <c r="I212" s="4" t="s">
        <v>386</v>
      </c>
      <c r="J212" s="53" t="s">
        <v>351</v>
      </c>
      <c r="K212" s="54" t="s">
        <v>79</v>
      </c>
      <c r="L212" s="4" t="s">
        <v>1719</v>
      </c>
      <c r="M212" s="10"/>
      <c r="N212" s="4" t="s">
        <v>124</v>
      </c>
      <c r="O212" s="42" t="s">
        <v>1618</v>
      </c>
      <c r="P212" s="10"/>
      <c r="Q212" s="4">
        <v>40</v>
      </c>
      <c r="R212" s="4" t="s">
        <v>1267</v>
      </c>
      <c r="S212" s="53" t="s">
        <v>325</v>
      </c>
      <c r="T212" s="10"/>
      <c r="U212" s="4" t="s">
        <v>1720</v>
      </c>
      <c r="V212" s="10"/>
      <c r="W212" s="4" t="s">
        <v>163</v>
      </c>
      <c r="X212" s="4" t="s">
        <v>270</v>
      </c>
      <c r="Y212" s="4" t="s">
        <v>1274</v>
      </c>
      <c r="Z212" s="4" t="s">
        <v>1275</v>
      </c>
      <c r="AA212" s="10"/>
      <c r="AB212" s="70" t="s">
        <v>43</v>
      </c>
      <c r="AC212" s="70"/>
      <c r="AD212" s="70" t="s">
        <v>1721</v>
      </c>
      <c r="AE212" s="53"/>
      <c r="AF212" s="10"/>
      <c r="AG212" s="10"/>
      <c r="AH212" s="10"/>
      <c r="AI212" s="10"/>
      <c r="AJ212" s="10"/>
      <c r="AK212" s="10"/>
      <c r="AL212" s="10"/>
      <c r="AM212" s="10"/>
      <c r="AN212" s="10"/>
      <c r="AO212" s="10"/>
      <c r="AP212" s="10"/>
      <c r="AQ212" s="10"/>
      <c r="AR212" s="10"/>
      <c r="AS212" s="10"/>
    </row>
    <row r="213" spans="1:45" ht="14">
      <c r="A213" s="4" t="s">
        <v>151</v>
      </c>
      <c r="B213" s="4" t="s">
        <v>432</v>
      </c>
      <c r="C213" s="10"/>
      <c r="D213" s="4" t="s">
        <v>168</v>
      </c>
      <c r="E213" s="4" t="s">
        <v>264</v>
      </c>
      <c r="F213" s="4" t="s">
        <v>385</v>
      </c>
      <c r="G213" s="4" t="s">
        <v>386</v>
      </c>
      <c r="H213" s="4" t="s">
        <v>268</v>
      </c>
      <c r="I213" s="4" t="s">
        <v>1622</v>
      </c>
      <c r="J213" s="53" t="s">
        <v>351</v>
      </c>
      <c r="K213" s="54" t="s">
        <v>84</v>
      </c>
      <c r="L213" s="4" t="s">
        <v>325</v>
      </c>
      <c r="M213" s="10"/>
      <c r="N213" s="4" t="s">
        <v>124</v>
      </c>
      <c r="O213" s="42" t="s">
        <v>1722</v>
      </c>
      <c r="P213" s="10"/>
      <c r="Q213" s="4">
        <v>41</v>
      </c>
      <c r="R213" s="4" t="s">
        <v>1284</v>
      </c>
      <c r="S213" s="53" t="s">
        <v>325</v>
      </c>
      <c r="T213" s="10"/>
      <c r="U213" s="4" t="s">
        <v>325</v>
      </c>
      <c r="V213" s="10"/>
      <c r="W213" s="4" t="s">
        <v>168</v>
      </c>
      <c r="X213" s="4" t="s">
        <v>270</v>
      </c>
      <c r="Y213" s="4" t="s">
        <v>1292</v>
      </c>
      <c r="Z213" s="4" t="s">
        <v>270</v>
      </c>
      <c r="AA213" s="10"/>
      <c r="AB213" s="70" t="s">
        <v>49</v>
      </c>
      <c r="AC213" s="70" t="s">
        <v>1694</v>
      </c>
      <c r="AD213" s="70"/>
      <c r="AE213" s="53"/>
      <c r="AF213" s="10"/>
      <c r="AG213" s="10"/>
      <c r="AH213" s="10"/>
      <c r="AI213" s="10"/>
      <c r="AJ213" s="10"/>
      <c r="AK213" s="10"/>
      <c r="AL213" s="10"/>
      <c r="AM213" s="10"/>
      <c r="AN213" s="10"/>
      <c r="AO213" s="10"/>
      <c r="AP213" s="10"/>
      <c r="AQ213" s="10"/>
      <c r="AR213" s="10"/>
      <c r="AS213" s="10"/>
    </row>
    <row r="214" spans="1:45" ht="28">
      <c r="A214" s="4" t="s">
        <v>155</v>
      </c>
      <c r="B214" s="4" t="s">
        <v>432</v>
      </c>
      <c r="C214" s="10"/>
      <c r="D214" s="4" t="s">
        <v>172</v>
      </c>
      <c r="E214" s="4" t="s">
        <v>264</v>
      </c>
      <c r="F214" s="4" t="s">
        <v>265</v>
      </c>
      <c r="G214" s="4" t="s">
        <v>265</v>
      </c>
      <c r="H214" s="4" t="s">
        <v>268</v>
      </c>
      <c r="I214" s="4" t="s">
        <v>1306</v>
      </c>
      <c r="J214" s="53" t="s">
        <v>586</v>
      </c>
      <c r="K214" s="54" t="s">
        <v>87</v>
      </c>
      <c r="L214" s="4" t="s">
        <v>386</v>
      </c>
      <c r="M214" s="10"/>
      <c r="N214" s="4" t="s">
        <v>124</v>
      </c>
      <c r="O214" s="42" t="s">
        <v>1700</v>
      </c>
      <c r="P214" s="10"/>
      <c r="Q214" s="4">
        <v>42</v>
      </c>
      <c r="R214" s="4" t="s">
        <v>1302</v>
      </c>
      <c r="S214" s="53" t="s">
        <v>325</v>
      </c>
      <c r="T214" s="10"/>
      <c r="U214" s="4" t="s">
        <v>325</v>
      </c>
      <c r="V214" s="10"/>
      <c r="W214" s="4" t="s">
        <v>172</v>
      </c>
      <c r="X214" s="4" t="s">
        <v>270</v>
      </c>
      <c r="Y214" s="4" t="s">
        <v>1309</v>
      </c>
      <c r="Z214" s="4" t="s">
        <v>1310</v>
      </c>
      <c r="AA214" s="10"/>
      <c r="AB214" s="70" t="s">
        <v>49</v>
      </c>
      <c r="AC214" s="70" t="s">
        <v>1687</v>
      </c>
      <c r="AD214" s="70"/>
      <c r="AE214" s="53"/>
      <c r="AF214" s="10"/>
      <c r="AG214" s="10"/>
      <c r="AH214" s="10"/>
      <c r="AI214" s="10"/>
      <c r="AJ214" s="10"/>
      <c r="AK214" s="10"/>
      <c r="AL214" s="10"/>
      <c r="AM214" s="10"/>
      <c r="AN214" s="10"/>
      <c r="AO214" s="10"/>
      <c r="AP214" s="10"/>
      <c r="AQ214" s="10"/>
      <c r="AR214" s="10"/>
      <c r="AS214" s="10"/>
    </row>
    <row r="215" spans="1:45" ht="28">
      <c r="A215" s="4" t="s">
        <v>159</v>
      </c>
      <c r="B215" s="4" t="s">
        <v>328</v>
      </c>
      <c r="C215" s="10"/>
      <c r="D215" s="4" t="s">
        <v>176</v>
      </c>
      <c r="E215" s="4" t="s">
        <v>264</v>
      </c>
      <c r="F215" s="4" t="s">
        <v>385</v>
      </c>
      <c r="G215" s="4" t="s">
        <v>386</v>
      </c>
      <c r="H215" s="4" t="s">
        <v>409</v>
      </c>
      <c r="I215" s="4" t="s">
        <v>386</v>
      </c>
      <c r="J215" s="53" t="s">
        <v>351</v>
      </c>
      <c r="K215" s="54" t="s">
        <v>91</v>
      </c>
      <c r="L215" s="4" t="s">
        <v>1666</v>
      </c>
      <c r="M215" s="10"/>
      <c r="N215" s="4" t="s">
        <v>129</v>
      </c>
      <c r="O215" s="42" t="s">
        <v>1700</v>
      </c>
      <c r="P215" s="10"/>
      <c r="Q215" s="4">
        <v>43</v>
      </c>
      <c r="R215" s="4" t="s">
        <v>1320</v>
      </c>
      <c r="S215" s="53" t="s">
        <v>325</v>
      </c>
      <c r="T215" s="10"/>
      <c r="U215" s="4" t="s">
        <v>325</v>
      </c>
      <c r="V215" s="10"/>
      <c r="W215" s="4" t="s">
        <v>176</v>
      </c>
      <c r="X215" s="4" t="s">
        <v>270</v>
      </c>
      <c r="Y215" s="4" t="s">
        <v>1326</v>
      </c>
      <c r="Z215" s="4" t="s">
        <v>1327</v>
      </c>
      <c r="AA215" s="10"/>
      <c r="AB215" s="70" t="s">
        <v>49</v>
      </c>
      <c r="AC215" s="70" t="s">
        <v>1627</v>
      </c>
      <c r="AD215" s="70"/>
      <c r="AE215" s="53"/>
      <c r="AF215" s="10"/>
      <c r="AG215" s="10"/>
      <c r="AH215" s="10"/>
      <c r="AI215" s="10"/>
      <c r="AJ215" s="10"/>
      <c r="AK215" s="10"/>
      <c r="AL215" s="10"/>
      <c r="AM215" s="10"/>
      <c r="AN215" s="10"/>
      <c r="AO215" s="10"/>
      <c r="AP215" s="10"/>
      <c r="AQ215" s="10"/>
      <c r="AR215" s="10"/>
      <c r="AS215" s="10"/>
    </row>
    <row r="216" spans="1:45" ht="28">
      <c r="A216" s="4" t="s">
        <v>163</v>
      </c>
      <c r="B216" s="4" t="s">
        <v>328</v>
      </c>
      <c r="C216" s="10"/>
      <c r="D216" s="4" t="s">
        <v>180</v>
      </c>
      <c r="E216" s="4" t="s">
        <v>264</v>
      </c>
      <c r="F216" s="4" t="s">
        <v>265</v>
      </c>
      <c r="G216" s="4" t="s">
        <v>265</v>
      </c>
      <c r="H216" s="4" t="s">
        <v>268</v>
      </c>
      <c r="I216" s="4" t="s">
        <v>1345</v>
      </c>
      <c r="J216" s="53" t="s">
        <v>586</v>
      </c>
      <c r="K216" s="54" t="s">
        <v>91</v>
      </c>
      <c r="L216" s="4" t="s">
        <v>1623</v>
      </c>
      <c r="M216" s="10"/>
      <c r="N216" s="4" t="s">
        <v>132</v>
      </c>
      <c r="O216" s="4" t="s">
        <v>386</v>
      </c>
      <c r="P216" s="10"/>
      <c r="Q216" s="4">
        <v>44</v>
      </c>
      <c r="R216" s="4" t="s">
        <v>1339</v>
      </c>
      <c r="S216" s="53" t="s">
        <v>325</v>
      </c>
      <c r="T216" s="10"/>
      <c r="U216" s="4" t="s">
        <v>1723</v>
      </c>
      <c r="V216" s="10"/>
      <c r="W216" s="4" t="s">
        <v>180</v>
      </c>
      <c r="X216" s="4" t="s">
        <v>270</v>
      </c>
      <c r="Y216" s="4" t="s">
        <v>1349</v>
      </c>
      <c r="Z216" s="4" t="s">
        <v>270</v>
      </c>
      <c r="AA216" s="10"/>
      <c r="AB216" s="70" t="s">
        <v>49</v>
      </c>
      <c r="AC216" s="73" t="s">
        <v>1671</v>
      </c>
      <c r="AD216" s="70"/>
      <c r="AE216" s="53"/>
      <c r="AF216" s="10"/>
      <c r="AG216" s="10"/>
      <c r="AH216" s="10"/>
      <c r="AI216" s="10"/>
      <c r="AJ216" s="10"/>
      <c r="AK216" s="10"/>
      <c r="AL216" s="10"/>
      <c r="AM216" s="10"/>
      <c r="AN216" s="10"/>
      <c r="AO216" s="10"/>
      <c r="AP216" s="10"/>
      <c r="AQ216" s="10"/>
      <c r="AR216" s="10"/>
      <c r="AS216" s="10"/>
    </row>
    <row r="217" spans="1:45" ht="154">
      <c r="A217" s="4" t="s">
        <v>168</v>
      </c>
      <c r="B217" s="4" t="s">
        <v>432</v>
      </c>
      <c r="C217" s="10"/>
      <c r="D217" s="4" t="s">
        <v>184</v>
      </c>
      <c r="E217" s="4" t="s">
        <v>264</v>
      </c>
      <c r="F217" s="4" t="s">
        <v>262</v>
      </c>
      <c r="G217" s="4" t="s">
        <v>262</v>
      </c>
      <c r="H217" s="4" t="s">
        <v>268</v>
      </c>
      <c r="I217" s="4" t="s">
        <v>1724</v>
      </c>
      <c r="J217" s="53" t="s">
        <v>1363</v>
      </c>
      <c r="K217" s="54" t="s">
        <v>91</v>
      </c>
      <c r="L217" s="4" t="s">
        <v>387</v>
      </c>
      <c r="M217" s="10"/>
      <c r="N217" s="4" t="s">
        <v>136</v>
      </c>
      <c r="O217" s="42" t="s">
        <v>1725</v>
      </c>
      <c r="P217" s="10"/>
      <c r="Q217" s="4">
        <v>45</v>
      </c>
      <c r="R217" s="4" t="s">
        <v>1360</v>
      </c>
      <c r="S217" s="53" t="s">
        <v>1369</v>
      </c>
      <c r="T217" s="10"/>
      <c r="U217" s="4" t="s">
        <v>1364</v>
      </c>
      <c r="V217" s="10"/>
      <c r="W217" s="4" t="s">
        <v>184</v>
      </c>
      <c r="X217" s="4" t="s">
        <v>1373</v>
      </c>
      <c r="Y217" s="4" t="s">
        <v>1726</v>
      </c>
      <c r="Z217" s="4" t="s">
        <v>1375</v>
      </c>
      <c r="AA217" s="10"/>
      <c r="AB217" s="70" t="s">
        <v>49</v>
      </c>
      <c r="AC217" s="70" t="s">
        <v>1647</v>
      </c>
      <c r="AD217" s="70"/>
      <c r="AE217" s="53"/>
      <c r="AF217" s="10"/>
      <c r="AG217" s="10"/>
      <c r="AH217" s="10"/>
      <c r="AI217" s="10"/>
      <c r="AJ217" s="10"/>
      <c r="AK217" s="10"/>
      <c r="AL217" s="10"/>
      <c r="AM217" s="10"/>
      <c r="AN217" s="10"/>
      <c r="AO217" s="10"/>
      <c r="AP217" s="10"/>
      <c r="AQ217" s="10"/>
      <c r="AR217" s="10"/>
      <c r="AS217" s="10"/>
    </row>
    <row r="218" spans="1:45" ht="42">
      <c r="A218" s="4" t="s">
        <v>172</v>
      </c>
      <c r="B218" s="4" t="s">
        <v>432</v>
      </c>
      <c r="C218" s="10"/>
      <c r="D218" s="4" t="s">
        <v>188</v>
      </c>
      <c r="E218" s="4" t="s">
        <v>264</v>
      </c>
      <c r="F218" s="4" t="s">
        <v>385</v>
      </c>
      <c r="G218" s="4" t="s">
        <v>386</v>
      </c>
      <c r="H218" s="4" t="s">
        <v>268</v>
      </c>
      <c r="I218" s="4" t="s">
        <v>1724</v>
      </c>
      <c r="J218" s="53" t="s">
        <v>1388</v>
      </c>
      <c r="K218" s="54" t="s">
        <v>91</v>
      </c>
      <c r="L218" s="4" t="s">
        <v>657</v>
      </c>
      <c r="M218" s="10"/>
      <c r="N218" s="4" t="s">
        <v>140</v>
      </c>
      <c r="O218" s="42" t="s">
        <v>325</v>
      </c>
      <c r="P218" s="10"/>
      <c r="Q218" s="4">
        <v>46</v>
      </c>
      <c r="R218" s="4" t="s">
        <v>1384</v>
      </c>
      <c r="S218" s="53" t="s">
        <v>325</v>
      </c>
      <c r="T218" s="10"/>
      <c r="U218" s="4" t="s">
        <v>325</v>
      </c>
      <c r="V218" s="10"/>
      <c r="W218" s="4" t="s">
        <v>188</v>
      </c>
      <c r="X218" s="27" t="s">
        <v>270</v>
      </c>
      <c r="Y218" s="4" t="s">
        <v>1392</v>
      </c>
      <c r="Z218" s="4" t="s">
        <v>325</v>
      </c>
      <c r="AA218" s="10"/>
      <c r="AB218" s="70" t="s">
        <v>53</v>
      </c>
      <c r="AC218" s="70" t="s">
        <v>1647</v>
      </c>
      <c r="AD218" s="70" t="s">
        <v>1727</v>
      </c>
      <c r="AE218" s="53" t="s">
        <v>1705</v>
      </c>
      <c r="AF218" s="10"/>
      <c r="AG218" s="10"/>
      <c r="AH218" s="10"/>
      <c r="AI218" s="10"/>
      <c r="AJ218" s="10"/>
      <c r="AK218" s="10"/>
      <c r="AL218" s="10"/>
      <c r="AM218" s="10"/>
      <c r="AN218" s="10"/>
      <c r="AO218" s="10"/>
      <c r="AP218" s="10"/>
      <c r="AQ218" s="10"/>
      <c r="AR218" s="10"/>
      <c r="AS218" s="10"/>
    </row>
    <row r="219" spans="1:45" ht="28">
      <c r="A219" s="4" t="s">
        <v>176</v>
      </c>
      <c r="B219" s="4" t="s">
        <v>457</v>
      </c>
      <c r="C219" s="10"/>
      <c r="D219" s="10"/>
      <c r="E219" s="10"/>
      <c r="F219" s="10"/>
      <c r="G219" s="10"/>
      <c r="H219" s="10"/>
      <c r="I219" s="10"/>
      <c r="J219" s="10"/>
      <c r="K219" s="54" t="s">
        <v>91</v>
      </c>
      <c r="L219" s="4" t="s">
        <v>1681</v>
      </c>
      <c r="M219" s="10"/>
      <c r="N219" s="4" t="s">
        <v>144</v>
      </c>
      <c r="O219" s="42" t="s">
        <v>924</v>
      </c>
      <c r="P219" s="10"/>
      <c r="Q219" s="10"/>
      <c r="R219" s="10"/>
      <c r="S219" s="10"/>
      <c r="T219" s="10"/>
      <c r="U219" s="10"/>
      <c r="V219" s="10"/>
      <c r="W219" s="40"/>
      <c r="X219" s="40"/>
      <c r="Y219" s="10"/>
      <c r="Z219" s="10"/>
      <c r="AA219" s="10"/>
      <c r="AB219" s="70" t="s">
        <v>53</v>
      </c>
      <c r="AC219" s="70" t="s">
        <v>1728</v>
      </c>
      <c r="AD219" s="70" t="s">
        <v>1729</v>
      </c>
      <c r="AE219" s="53"/>
      <c r="AF219" s="10"/>
      <c r="AG219" s="10"/>
      <c r="AH219" s="10"/>
      <c r="AI219" s="10"/>
      <c r="AJ219" s="10"/>
      <c r="AK219" s="10"/>
      <c r="AL219" s="10"/>
      <c r="AM219" s="10"/>
      <c r="AN219" s="10"/>
      <c r="AO219" s="10"/>
      <c r="AP219" s="10"/>
      <c r="AQ219" s="10"/>
      <c r="AR219" s="10"/>
      <c r="AS219" s="10"/>
    </row>
    <row r="220" spans="1:45" ht="28">
      <c r="A220" s="4" t="s">
        <v>180</v>
      </c>
      <c r="B220" s="4" t="s">
        <v>432</v>
      </c>
      <c r="C220" s="10"/>
      <c r="D220" s="10"/>
      <c r="E220" s="10"/>
      <c r="F220" s="10"/>
      <c r="G220" s="10"/>
      <c r="H220" s="10"/>
      <c r="I220" s="10"/>
      <c r="J220" s="10"/>
      <c r="K220" s="54" t="s">
        <v>95</v>
      </c>
      <c r="L220" s="4" t="s">
        <v>657</v>
      </c>
      <c r="M220" s="10"/>
      <c r="N220" s="4" t="s">
        <v>144</v>
      </c>
      <c r="O220" s="42" t="s">
        <v>1730</v>
      </c>
      <c r="P220" s="10"/>
      <c r="Q220" s="10"/>
      <c r="R220" s="10"/>
      <c r="S220" s="10"/>
      <c r="T220" s="10"/>
      <c r="U220" s="10"/>
      <c r="V220" s="10"/>
      <c r="W220" s="10"/>
      <c r="X220" s="10"/>
      <c r="Y220" s="10"/>
      <c r="Z220" s="10"/>
      <c r="AA220" s="10"/>
      <c r="AB220" s="70" t="s">
        <v>53</v>
      </c>
      <c r="AC220" s="70" t="s">
        <v>1627</v>
      </c>
      <c r="AD220" s="70" t="s">
        <v>1731</v>
      </c>
      <c r="AE220" s="53" t="s">
        <v>1677</v>
      </c>
      <c r="AF220" s="10"/>
      <c r="AG220" s="10"/>
      <c r="AH220" s="10"/>
      <c r="AI220" s="10"/>
      <c r="AJ220" s="10"/>
      <c r="AK220" s="10"/>
      <c r="AL220" s="10"/>
      <c r="AM220" s="10"/>
      <c r="AN220" s="10"/>
      <c r="AO220" s="10"/>
      <c r="AP220" s="10"/>
      <c r="AQ220" s="10"/>
      <c r="AR220" s="10"/>
      <c r="AS220" s="10"/>
    </row>
    <row r="221" spans="1:45" ht="14">
      <c r="A221" s="4" t="s">
        <v>184</v>
      </c>
      <c r="B221" s="4" t="s">
        <v>328</v>
      </c>
      <c r="C221" s="10"/>
      <c r="D221" s="10"/>
      <c r="E221" s="10"/>
      <c r="F221" s="10"/>
      <c r="G221" s="10"/>
      <c r="H221" s="10"/>
      <c r="I221" s="10"/>
      <c r="J221" s="10"/>
      <c r="K221" s="54" t="s">
        <v>95</v>
      </c>
      <c r="L221" s="4" t="s">
        <v>1631</v>
      </c>
      <c r="M221" s="10"/>
      <c r="N221" s="4" t="s">
        <v>144</v>
      </c>
      <c r="O221" s="42" t="s">
        <v>1732</v>
      </c>
      <c r="P221" s="10"/>
      <c r="Q221" s="10"/>
      <c r="R221" s="10"/>
      <c r="S221" s="10"/>
      <c r="T221" s="10"/>
      <c r="U221" s="10"/>
      <c r="V221" s="10"/>
      <c r="W221" s="10"/>
      <c r="X221" s="10"/>
      <c r="Y221" s="10"/>
      <c r="Z221" s="10"/>
      <c r="AA221" s="10"/>
      <c r="AB221" s="70" t="s">
        <v>53</v>
      </c>
      <c r="AC221" s="70" t="s">
        <v>1694</v>
      </c>
      <c r="AD221" s="70"/>
      <c r="AE221" s="53"/>
      <c r="AF221" s="10"/>
      <c r="AG221" s="10"/>
      <c r="AH221" s="10"/>
      <c r="AI221" s="10"/>
      <c r="AJ221" s="10"/>
      <c r="AK221" s="10"/>
      <c r="AL221" s="10"/>
      <c r="AM221" s="10"/>
      <c r="AN221" s="10"/>
      <c r="AO221" s="10"/>
      <c r="AP221" s="10"/>
      <c r="AQ221" s="10"/>
      <c r="AR221" s="10"/>
      <c r="AS221" s="10"/>
    </row>
    <row r="222" spans="1:45" ht="14">
      <c r="A222" s="4" t="s">
        <v>188</v>
      </c>
      <c r="B222" s="4" t="s">
        <v>432</v>
      </c>
      <c r="C222" s="10"/>
      <c r="D222" s="10"/>
      <c r="E222" s="10"/>
      <c r="F222" s="10"/>
      <c r="G222" s="10"/>
      <c r="H222" s="10"/>
      <c r="I222" s="10"/>
      <c r="J222" s="10"/>
      <c r="K222" s="54" t="s">
        <v>98</v>
      </c>
      <c r="L222" s="4" t="s">
        <v>325</v>
      </c>
      <c r="M222" s="10"/>
      <c r="N222" s="4" t="s">
        <v>147</v>
      </c>
      <c r="O222" s="42" t="s">
        <v>325</v>
      </c>
      <c r="P222" s="10"/>
      <c r="Q222" s="10"/>
      <c r="R222" s="10"/>
      <c r="S222" s="10"/>
      <c r="T222" s="10"/>
      <c r="U222" s="10"/>
      <c r="V222" s="10"/>
      <c r="W222" s="10"/>
      <c r="X222" s="10"/>
      <c r="Y222" s="10"/>
      <c r="Z222" s="10"/>
      <c r="AA222" s="10"/>
      <c r="AB222" s="70" t="s">
        <v>56</v>
      </c>
      <c r="AC222" s="70" t="s">
        <v>1634</v>
      </c>
      <c r="AD222" s="70"/>
      <c r="AE222" s="53"/>
      <c r="AF222" s="10"/>
      <c r="AG222" s="10"/>
      <c r="AH222" s="10"/>
      <c r="AI222" s="10"/>
      <c r="AJ222" s="10"/>
      <c r="AK222" s="10"/>
      <c r="AL222" s="10"/>
      <c r="AM222" s="10"/>
      <c r="AN222" s="10"/>
      <c r="AO222" s="10"/>
      <c r="AP222" s="10"/>
      <c r="AQ222" s="10"/>
      <c r="AR222" s="10"/>
      <c r="AS222" s="10"/>
    </row>
    <row r="223" spans="1:45" ht="14">
      <c r="A223" s="10"/>
      <c r="B223" s="10"/>
      <c r="C223" s="10"/>
      <c r="D223" s="10"/>
      <c r="E223" s="10"/>
      <c r="F223" s="10"/>
      <c r="G223" s="10"/>
      <c r="H223" s="10"/>
      <c r="I223" s="10"/>
      <c r="J223" s="10"/>
      <c r="K223" s="54" t="s">
        <v>102</v>
      </c>
      <c r="L223" s="4" t="s">
        <v>1631</v>
      </c>
      <c r="M223" s="10"/>
      <c r="N223" s="4" t="s">
        <v>151</v>
      </c>
      <c r="O223" s="42" t="s">
        <v>1624</v>
      </c>
      <c r="P223" s="10"/>
      <c r="Q223" s="10"/>
      <c r="R223" s="10"/>
      <c r="S223" s="10"/>
      <c r="T223" s="10"/>
      <c r="U223" s="10"/>
      <c r="V223" s="10"/>
      <c r="W223" s="10"/>
      <c r="X223" s="10"/>
      <c r="Y223" s="10"/>
      <c r="Z223" s="10"/>
      <c r="AA223" s="10"/>
      <c r="AB223" s="70" t="s">
        <v>56</v>
      </c>
      <c r="AC223" s="70" t="s">
        <v>1694</v>
      </c>
      <c r="AD223" s="70"/>
      <c r="AE223" s="53"/>
      <c r="AF223" s="10"/>
      <c r="AG223" s="10"/>
      <c r="AH223" s="10"/>
      <c r="AI223" s="10"/>
      <c r="AJ223" s="10"/>
      <c r="AK223" s="10"/>
      <c r="AL223" s="10"/>
      <c r="AM223" s="10"/>
      <c r="AN223" s="10"/>
      <c r="AO223" s="10"/>
      <c r="AP223" s="10"/>
      <c r="AQ223" s="10"/>
      <c r="AR223" s="10"/>
      <c r="AS223" s="10"/>
    </row>
    <row r="224" spans="1:45" ht="28">
      <c r="A224" s="10"/>
      <c r="B224" s="10"/>
      <c r="C224" s="10"/>
      <c r="D224" s="10"/>
      <c r="E224" s="10"/>
      <c r="F224" s="10"/>
      <c r="G224" s="10"/>
      <c r="H224" s="10"/>
      <c r="I224" s="10"/>
      <c r="J224" s="10"/>
      <c r="K224" s="54" t="s">
        <v>102</v>
      </c>
      <c r="L224" s="4" t="s">
        <v>1719</v>
      </c>
      <c r="M224" s="10"/>
      <c r="N224" s="4" t="s">
        <v>151</v>
      </c>
      <c r="O224" s="42" t="s">
        <v>1700</v>
      </c>
      <c r="P224" s="10"/>
      <c r="Q224" s="10"/>
      <c r="R224" s="10"/>
      <c r="S224" s="10"/>
      <c r="T224" s="10"/>
      <c r="U224" s="10"/>
      <c r="V224" s="10"/>
      <c r="W224" s="10"/>
      <c r="X224" s="10"/>
      <c r="Y224" s="10"/>
      <c r="Z224" s="10"/>
      <c r="AA224" s="10"/>
      <c r="AB224" s="70" t="s">
        <v>56</v>
      </c>
      <c r="AC224" s="70" t="s">
        <v>1627</v>
      </c>
      <c r="AD224" s="70"/>
      <c r="AE224" s="53"/>
      <c r="AF224" s="10"/>
      <c r="AG224" s="10"/>
      <c r="AH224" s="10"/>
      <c r="AI224" s="10"/>
      <c r="AJ224" s="10"/>
      <c r="AK224" s="10"/>
      <c r="AL224" s="10"/>
      <c r="AM224" s="10"/>
      <c r="AN224" s="10"/>
      <c r="AO224" s="10"/>
      <c r="AP224" s="10"/>
      <c r="AQ224" s="10"/>
      <c r="AR224" s="10"/>
      <c r="AS224" s="10"/>
    </row>
    <row r="225" spans="1:45" ht="28">
      <c r="A225" s="10"/>
      <c r="B225" s="10"/>
      <c r="C225" s="10"/>
      <c r="D225" s="10"/>
      <c r="E225" s="10"/>
      <c r="F225" s="10"/>
      <c r="G225" s="10"/>
      <c r="H225" s="10"/>
      <c r="I225" s="10"/>
      <c r="J225" s="10"/>
      <c r="K225" s="54" t="s">
        <v>106</v>
      </c>
      <c r="L225" s="4" t="s">
        <v>386</v>
      </c>
      <c r="M225" s="10"/>
      <c r="N225" s="4" t="s">
        <v>155</v>
      </c>
      <c r="O225" s="42" t="s">
        <v>1624</v>
      </c>
      <c r="P225" s="10"/>
      <c r="Q225" s="10"/>
      <c r="R225" s="10"/>
      <c r="S225" s="10"/>
      <c r="T225" s="10"/>
      <c r="U225" s="10"/>
      <c r="V225" s="10"/>
      <c r="W225" s="10"/>
      <c r="X225" s="10"/>
      <c r="Y225" s="10"/>
      <c r="Z225" s="10"/>
      <c r="AA225" s="10"/>
      <c r="AB225" s="70" t="s">
        <v>56</v>
      </c>
      <c r="AC225" s="70" t="s">
        <v>1703</v>
      </c>
      <c r="AD225" s="70"/>
      <c r="AE225" s="53"/>
      <c r="AF225" s="10"/>
      <c r="AG225" s="10"/>
      <c r="AH225" s="10"/>
      <c r="AI225" s="10"/>
      <c r="AJ225" s="10"/>
      <c r="AK225" s="10"/>
      <c r="AL225" s="10"/>
      <c r="AM225" s="10"/>
      <c r="AN225" s="10"/>
      <c r="AO225" s="10"/>
      <c r="AP225" s="10"/>
      <c r="AQ225" s="10"/>
      <c r="AR225" s="10"/>
      <c r="AS225" s="10"/>
    </row>
    <row r="226" spans="1:45" ht="28">
      <c r="A226" s="10"/>
      <c r="B226" s="10"/>
      <c r="C226" s="10"/>
      <c r="D226" s="10"/>
      <c r="E226" s="10"/>
      <c r="F226" s="10"/>
      <c r="G226" s="10"/>
      <c r="H226" s="10"/>
      <c r="I226" s="10"/>
      <c r="J226" s="10"/>
      <c r="K226" s="54" t="s">
        <v>110</v>
      </c>
      <c r="L226" s="4" t="s">
        <v>1651</v>
      </c>
      <c r="M226" s="10"/>
      <c r="N226" s="4" t="s">
        <v>155</v>
      </c>
      <c r="O226" s="42" t="s">
        <v>1700</v>
      </c>
      <c r="P226" s="10"/>
      <c r="Q226" s="10"/>
      <c r="R226" s="10"/>
      <c r="S226" s="10"/>
      <c r="T226" s="10"/>
      <c r="U226" s="10"/>
      <c r="V226" s="10"/>
      <c r="W226" s="10"/>
      <c r="X226" s="10"/>
      <c r="Y226" s="10"/>
      <c r="Z226" s="10"/>
      <c r="AA226" s="10"/>
      <c r="AB226" s="70" t="s">
        <v>60</v>
      </c>
      <c r="AC226" s="70" t="s">
        <v>1627</v>
      </c>
      <c r="AD226" s="70" t="s">
        <v>1733</v>
      </c>
      <c r="AE226" s="53" t="s">
        <v>1734</v>
      </c>
      <c r="AF226" s="10"/>
      <c r="AG226" s="10"/>
      <c r="AH226" s="10"/>
      <c r="AI226" s="10"/>
      <c r="AJ226" s="10"/>
      <c r="AK226" s="10"/>
      <c r="AL226" s="10"/>
      <c r="AM226" s="10"/>
      <c r="AN226" s="10"/>
      <c r="AO226" s="10"/>
      <c r="AP226" s="10"/>
      <c r="AQ226" s="10"/>
      <c r="AR226" s="10"/>
      <c r="AS226" s="10"/>
    </row>
    <row r="227" spans="1:45" ht="28">
      <c r="A227" s="10"/>
      <c r="B227" s="10"/>
      <c r="C227" s="10"/>
      <c r="D227" s="10"/>
      <c r="E227" s="10"/>
      <c r="F227" s="10"/>
      <c r="G227" s="10"/>
      <c r="H227" s="10"/>
      <c r="I227" s="10"/>
      <c r="J227" s="10"/>
      <c r="K227" s="54" t="s">
        <v>110</v>
      </c>
      <c r="L227" s="4" t="s">
        <v>657</v>
      </c>
      <c r="M227" s="10"/>
      <c r="N227" s="4" t="s">
        <v>159</v>
      </c>
      <c r="O227" s="42" t="s">
        <v>325</v>
      </c>
      <c r="P227" s="10"/>
      <c r="Q227" s="10"/>
      <c r="R227" s="10"/>
      <c r="S227" s="10"/>
      <c r="T227" s="10"/>
      <c r="U227" s="10"/>
      <c r="V227" s="10"/>
      <c r="W227" s="10"/>
      <c r="X227" s="10"/>
      <c r="Y227" s="10"/>
      <c r="Z227" s="10"/>
      <c r="AA227" s="10"/>
      <c r="AB227" s="70" t="s">
        <v>60</v>
      </c>
      <c r="AC227" s="70" t="s">
        <v>1643</v>
      </c>
      <c r="AD227" s="70"/>
      <c r="AE227" s="75"/>
      <c r="AF227" s="10"/>
      <c r="AG227" s="10"/>
      <c r="AH227" s="10"/>
      <c r="AI227" s="10"/>
      <c r="AJ227" s="10"/>
      <c r="AK227" s="10"/>
      <c r="AL227" s="10"/>
      <c r="AM227" s="10"/>
      <c r="AN227" s="10"/>
      <c r="AO227" s="10"/>
      <c r="AP227" s="10"/>
      <c r="AQ227" s="10"/>
      <c r="AR227" s="10"/>
      <c r="AS227" s="10"/>
    </row>
    <row r="228" spans="1:45" ht="14">
      <c r="A228" s="10"/>
      <c r="B228" s="10"/>
      <c r="C228" s="10"/>
      <c r="D228" s="10"/>
      <c r="E228" s="10"/>
      <c r="F228" s="10"/>
      <c r="G228" s="10"/>
      <c r="H228" s="10"/>
      <c r="I228" s="10"/>
      <c r="J228" s="10"/>
      <c r="K228" s="54" t="s">
        <v>110</v>
      </c>
      <c r="L228" s="4" t="s">
        <v>1681</v>
      </c>
      <c r="M228" s="10"/>
      <c r="N228" s="4" t="s">
        <v>163</v>
      </c>
      <c r="O228" s="42" t="s">
        <v>1618</v>
      </c>
      <c r="P228" s="10"/>
      <c r="Q228" s="10"/>
      <c r="R228" s="10"/>
      <c r="S228" s="10"/>
      <c r="T228" s="10"/>
      <c r="U228" s="10"/>
      <c r="V228" s="10"/>
      <c r="W228" s="10"/>
      <c r="X228" s="10"/>
      <c r="Y228" s="10"/>
      <c r="Z228" s="10"/>
      <c r="AA228" s="10"/>
      <c r="AB228" s="70" t="s">
        <v>60</v>
      </c>
      <c r="AC228" s="70" t="s">
        <v>1683</v>
      </c>
      <c r="AD228" s="70"/>
      <c r="AE228" s="75"/>
      <c r="AF228" s="10"/>
      <c r="AG228" s="10"/>
      <c r="AH228" s="10"/>
      <c r="AI228" s="10"/>
      <c r="AJ228" s="10"/>
      <c r="AK228" s="10"/>
      <c r="AL228" s="10"/>
      <c r="AM228" s="10"/>
      <c r="AN228" s="10"/>
      <c r="AO228" s="10"/>
      <c r="AP228" s="10"/>
      <c r="AQ228" s="10"/>
      <c r="AR228" s="10"/>
      <c r="AS228" s="10"/>
    </row>
    <row r="229" spans="1:45" ht="14">
      <c r="A229" s="10"/>
      <c r="B229" s="10"/>
      <c r="C229" s="10"/>
      <c r="D229" s="10"/>
      <c r="E229" s="10"/>
      <c r="F229" s="10"/>
      <c r="G229" s="10"/>
      <c r="H229" s="10"/>
      <c r="I229" s="10"/>
      <c r="J229" s="10"/>
      <c r="K229" s="54" t="s">
        <v>110</v>
      </c>
      <c r="L229" s="4" t="s">
        <v>1623</v>
      </c>
      <c r="M229" s="10"/>
      <c r="N229" s="4" t="s">
        <v>168</v>
      </c>
      <c r="O229" s="42" t="s">
        <v>1700</v>
      </c>
      <c r="P229" s="10"/>
      <c r="Q229" s="10"/>
      <c r="R229" s="10"/>
      <c r="S229" s="10"/>
      <c r="T229" s="10"/>
      <c r="U229" s="10"/>
      <c r="V229" s="10"/>
      <c r="W229" s="10"/>
      <c r="X229" s="10"/>
      <c r="Y229" s="10"/>
      <c r="Z229" s="10"/>
      <c r="AA229" s="10"/>
      <c r="AB229" s="70" t="s">
        <v>60</v>
      </c>
      <c r="AC229" s="70" t="s">
        <v>1694</v>
      </c>
      <c r="AD229" s="70" t="s">
        <v>1735</v>
      </c>
      <c r="AE229" s="75"/>
      <c r="AF229" s="10"/>
      <c r="AG229" s="10"/>
      <c r="AH229" s="10"/>
      <c r="AI229" s="10"/>
      <c r="AJ229" s="10"/>
      <c r="AK229" s="10"/>
      <c r="AL229" s="10"/>
      <c r="AM229" s="10"/>
      <c r="AN229" s="10"/>
      <c r="AO229" s="10"/>
      <c r="AP229" s="10"/>
      <c r="AQ229" s="10"/>
      <c r="AR229" s="10"/>
      <c r="AS229" s="10"/>
    </row>
    <row r="230" spans="1:45" ht="28">
      <c r="A230" s="10"/>
      <c r="B230" s="10"/>
      <c r="C230" s="10"/>
      <c r="D230" s="10"/>
      <c r="E230" s="10"/>
      <c r="F230" s="10"/>
      <c r="G230" s="10"/>
      <c r="H230" s="10"/>
      <c r="I230" s="10"/>
      <c r="J230" s="10"/>
      <c r="K230" s="54" t="s">
        <v>110</v>
      </c>
      <c r="L230" s="4" t="s">
        <v>387</v>
      </c>
      <c r="M230" s="10"/>
      <c r="N230" s="4" t="s">
        <v>172</v>
      </c>
      <c r="O230" s="42" t="s">
        <v>325</v>
      </c>
      <c r="P230" s="10"/>
      <c r="Q230" s="10"/>
      <c r="R230" s="10"/>
      <c r="S230" s="10"/>
      <c r="T230" s="10"/>
      <c r="U230" s="10"/>
      <c r="V230" s="10"/>
      <c r="W230" s="10"/>
      <c r="X230" s="10"/>
      <c r="Y230" s="10"/>
      <c r="Z230" s="10"/>
      <c r="AA230" s="10"/>
      <c r="AB230" s="70" t="s">
        <v>60</v>
      </c>
      <c r="AC230" s="70" t="s">
        <v>1736</v>
      </c>
      <c r="AD230" s="70" t="s">
        <v>1737</v>
      </c>
      <c r="AE230" s="53" t="s">
        <v>1677</v>
      </c>
      <c r="AF230" s="10"/>
      <c r="AG230" s="10"/>
      <c r="AH230" s="10"/>
      <c r="AI230" s="10"/>
      <c r="AJ230" s="10"/>
      <c r="AK230" s="10"/>
      <c r="AL230" s="10"/>
      <c r="AM230" s="10"/>
      <c r="AN230" s="10"/>
      <c r="AO230" s="10"/>
      <c r="AP230" s="10"/>
      <c r="AQ230" s="10"/>
      <c r="AR230" s="10"/>
      <c r="AS230" s="10"/>
    </row>
    <row r="231" spans="1:45" ht="14">
      <c r="A231" s="10"/>
      <c r="B231" s="10"/>
      <c r="C231" s="10"/>
      <c r="D231" s="10"/>
      <c r="E231" s="10"/>
      <c r="F231" s="10"/>
      <c r="G231" s="10"/>
      <c r="H231" s="10"/>
      <c r="I231" s="10"/>
      <c r="J231" s="10"/>
      <c r="K231" s="54" t="s">
        <v>114</v>
      </c>
      <c r="L231" s="4" t="s">
        <v>1618</v>
      </c>
      <c r="M231" s="76"/>
      <c r="N231" s="4" t="s">
        <v>176</v>
      </c>
      <c r="O231" s="42" t="s">
        <v>386</v>
      </c>
      <c r="P231" s="10"/>
      <c r="Q231" s="10"/>
      <c r="R231" s="10"/>
      <c r="S231" s="10"/>
      <c r="T231" s="10"/>
      <c r="U231" s="10"/>
      <c r="V231" s="10"/>
      <c r="W231" s="10"/>
      <c r="X231" s="10"/>
      <c r="Y231" s="10"/>
      <c r="Z231" s="10"/>
      <c r="AA231" s="10"/>
      <c r="AB231" s="70" t="s">
        <v>60</v>
      </c>
      <c r="AC231" s="70" t="s">
        <v>1634</v>
      </c>
      <c r="AD231" s="70" t="s">
        <v>1738</v>
      </c>
      <c r="AE231" s="53" t="s">
        <v>1705</v>
      </c>
      <c r="AF231" s="10"/>
      <c r="AG231" s="10"/>
      <c r="AH231" s="10"/>
      <c r="AI231" s="10"/>
      <c r="AJ231" s="10"/>
      <c r="AK231" s="10"/>
      <c r="AL231" s="10"/>
      <c r="AM231" s="10"/>
      <c r="AN231" s="10"/>
      <c r="AO231" s="10"/>
      <c r="AP231" s="10"/>
      <c r="AQ231" s="10"/>
      <c r="AR231" s="10"/>
      <c r="AS231" s="10"/>
    </row>
    <row r="232" spans="1:45" ht="28">
      <c r="A232" s="10"/>
      <c r="B232" s="10"/>
      <c r="C232" s="10"/>
      <c r="D232" s="10"/>
      <c r="E232" s="10"/>
      <c r="F232" s="10"/>
      <c r="G232" s="10"/>
      <c r="H232" s="10"/>
      <c r="I232" s="10"/>
      <c r="J232" s="10"/>
      <c r="K232" s="54" t="s">
        <v>119</v>
      </c>
      <c r="L232" s="4" t="s">
        <v>325</v>
      </c>
      <c r="M232" s="76"/>
      <c r="N232" s="4" t="s">
        <v>180</v>
      </c>
      <c r="O232" s="42" t="s">
        <v>1347</v>
      </c>
      <c r="P232" s="10"/>
      <c r="Q232" s="10"/>
      <c r="R232" s="10"/>
      <c r="S232" s="10"/>
      <c r="T232" s="10"/>
      <c r="U232" s="10"/>
      <c r="V232" s="10"/>
      <c r="W232" s="10"/>
      <c r="X232" s="10"/>
      <c r="Y232" s="10"/>
      <c r="Z232" s="10"/>
      <c r="AA232" s="10"/>
      <c r="AB232" s="70" t="s">
        <v>60</v>
      </c>
      <c r="AC232" s="70" t="s">
        <v>1703</v>
      </c>
      <c r="AD232" s="70" t="s">
        <v>1739</v>
      </c>
      <c r="AE232" s="53"/>
      <c r="AF232" s="10"/>
      <c r="AG232" s="10"/>
      <c r="AH232" s="10"/>
      <c r="AI232" s="10"/>
      <c r="AJ232" s="10"/>
      <c r="AK232" s="10"/>
      <c r="AL232" s="10"/>
      <c r="AM232" s="10"/>
      <c r="AN232" s="10"/>
      <c r="AO232" s="10"/>
      <c r="AP232" s="10"/>
      <c r="AQ232" s="10"/>
      <c r="AR232" s="10"/>
      <c r="AS232" s="10"/>
    </row>
    <row r="233" spans="1:45" ht="14">
      <c r="A233" s="10"/>
      <c r="B233" s="10"/>
      <c r="C233" s="10"/>
      <c r="D233" s="10"/>
      <c r="E233" s="10"/>
      <c r="F233" s="10"/>
      <c r="G233" s="10"/>
      <c r="H233" s="10"/>
      <c r="I233" s="10"/>
      <c r="J233" s="10"/>
      <c r="K233" s="54" t="s">
        <v>124</v>
      </c>
      <c r="L233" s="4" t="s">
        <v>325</v>
      </c>
      <c r="M233" s="76"/>
      <c r="N233" s="4" t="s">
        <v>184</v>
      </c>
      <c r="O233" s="42" t="s">
        <v>1697</v>
      </c>
      <c r="P233" s="10"/>
      <c r="Q233" s="10"/>
      <c r="R233" s="10"/>
      <c r="S233" s="10"/>
      <c r="T233" s="10"/>
      <c r="U233" s="10"/>
      <c r="V233" s="10"/>
      <c r="W233" s="10"/>
      <c r="X233" s="10"/>
      <c r="Y233" s="10"/>
      <c r="Z233" s="10"/>
      <c r="AA233" s="10"/>
      <c r="AB233" s="70" t="s">
        <v>65</v>
      </c>
      <c r="AC233" s="70" t="s">
        <v>1740</v>
      </c>
      <c r="AD233" s="70" t="s">
        <v>1741</v>
      </c>
      <c r="AE233" s="53" t="s">
        <v>1742</v>
      </c>
      <c r="AF233" s="10"/>
      <c r="AG233" s="10"/>
      <c r="AH233" s="10"/>
      <c r="AI233" s="10"/>
      <c r="AJ233" s="10"/>
      <c r="AK233" s="10"/>
      <c r="AL233" s="10"/>
      <c r="AM233" s="10"/>
      <c r="AN233" s="10"/>
      <c r="AO233" s="10"/>
      <c r="AP233" s="10"/>
      <c r="AQ233" s="10"/>
      <c r="AR233" s="10"/>
      <c r="AS233" s="10"/>
    </row>
    <row r="234" spans="1:45" ht="14">
      <c r="A234" s="10"/>
      <c r="B234" s="10"/>
      <c r="C234" s="10"/>
      <c r="D234" s="10"/>
      <c r="E234" s="10"/>
      <c r="F234" s="10"/>
      <c r="G234" s="10"/>
      <c r="H234" s="10"/>
      <c r="I234" s="10"/>
      <c r="J234" s="10"/>
      <c r="K234" s="54" t="s">
        <v>129</v>
      </c>
      <c r="L234" s="4" t="s">
        <v>1743</v>
      </c>
      <c r="M234" s="10"/>
      <c r="N234" s="4" t="s">
        <v>184</v>
      </c>
      <c r="O234" s="42" t="s">
        <v>1624</v>
      </c>
      <c r="P234" s="10"/>
      <c r="Q234" s="10"/>
      <c r="R234" s="10"/>
      <c r="S234" s="10"/>
      <c r="T234" s="10"/>
      <c r="U234" s="10"/>
      <c r="V234" s="10"/>
      <c r="W234" s="10"/>
      <c r="X234" s="10"/>
      <c r="Y234" s="10"/>
      <c r="Z234" s="10"/>
      <c r="AA234" s="10"/>
      <c r="AB234" s="70" t="s">
        <v>65</v>
      </c>
      <c r="AC234" s="70" t="s">
        <v>1683</v>
      </c>
      <c r="AD234" s="70" t="s">
        <v>1744</v>
      </c>
      <c r="AE234" s="53" t="s">
        <v>1677</v>
      </c>
      <c r="AF234" s="10"/>
      <c r="AG234" s="10"/>
      <c r="AH234" s="10"/>
      <c r="AI234" s="10"/>
      <c r="AJ234" s="10"/>
      <c r="AK234" s="10"/>
      <c r="AL234" s="10"/>
      <c r="AM234" s="10"/>
      <c r="AN234" s="10"/>
      <c r="AO234" s="10"/>
      <c r="AP234" s="10"/>
      <c r="AQ234" s="10"/>
      <c r="AR234" s="10"/>
      <c r="AS234" s="10"/>
    </row>
    <row r="235" spans="1:45" ht="28">
      <c r="A235" s="10"/>
      <c r="B235" s="10"/>
      <c r="C235" s="10"/>
      <c r="D235" s="10"/>
      <c r="E235" s="10"/>
      <c r="F235" s="10"/>
      <c r="G235" s="10"/>
      <c r="H235" s="10"/>
      <c r="I235" s="10"/>
      <c r="J235" s="10"/>
      <c r="K235" s="54" t="s">
        <v>129</v>
      </c>
      <c r="L235" s="61" t="s">
        <v>1672</v>
      </c>
      <c r="M235" s="10"/>
      <c r="N235" s="4" t="s">
        <v>188</v>
      </c>
      <c r="O235" s="42" t="s">
        <v>325</v>
      </c>
      <c r="P235" s="10"/>
      <c r="Q235" s="10"/>
      <c r="R235" s="10"/>
      <c r="S235" s="10"/>
      <c r="T235" s="10"/>
      <c r="U235" s="10"/>
      <c r="V235" s="10"/>
      <c r="W235" s="10"/>
      <c r="X235" s="10"/>
      <c r="Y235" s="10"/>
      <c r="Z235" s="10"/>
      <c r="AA235" s="10"/>
      <c r="AB235" s="70" t="s">
        <v>65</v>
      </c>
      <c r="AC235" s="70" t="s">
        <v>1627</v>
      </c>
      <c r="AD235" s="70" t="s">
        <v>1745</v>
      </c>
      <c r="AE235" s="53" t="s">
        <v>1645</v>
      </c>
      <c r="AF235" s="10"/>
      <c r="AG235" s="10"/>
      <c r="AH235" s="10"/>
      <c r="AI235" s="10"/>
      <c r="AJ235" s="10"/>
      <c r="AK235" s="10"/>
      <c r="AL235" s="10"/>
      <c r="AM235" s="10"/>
      <c r="AN235" s="10"/>
      <c r="AO235" s="10"/>
      <c r="AP235" s="10"/>
      <c r="AQ235" s="10"/>
      <c r="AR235" s="10"/>
      <c r="AS235" s="10"/>
    </row>
    <row r="236" spans="1:45" ht="14">
      <c r="A236" s="10"/>
      <c r="B236" s="10"/>
      <c r="C236" s="10"/>
      <c r="D236" s="10"/>
      <c r="E236" s="10"/>
      <c r="F236" s="10"/>
      <c r="G236" s="10"/>
      <c r="H236" s="10"/>
      <c r="I236" s="10"/>
      <c r="J236" s="10"/>
      <c r="K236" s="54" t="s">
        <v>129</v>
      </c>
      <c r="L236" s="4" t="s">
        <v>1746</v>
      </c>
      <c r="M236" s="10"/>
      <c r="N236" s="10"/>
      <c r="O236" s="10"/>
      <c r="P236" s="10"/>
      <c r="Q236" s="10"/>
      <c r="R236" s="10"/>
      <c r="S236" s="10"/>
      <c r="T236" s="10"/>
      <c r="U236" s="10"/>
      <c r="V236" s="10"/>
      <c r="W236" s="10"/>
      <c r="X236" s="10"/>
      <c r="Y236" s="10"/>
      <c r="Z236" s="10"/>
      <c r="AA236" s="10"/>
      <c r="AB236" s="70" t="s">
        <v>65</v>
      </c>
      <c r="AC236" s="70" t="s">
        <v>1694</v>
      </c>
      <c r="AD236" s="70" t="s">
        <v>1747</v>
      </c>
      <c r="AE236" s="53"/>
      <c r="AF236" s="10"/>
      <c r="AG236" s="10"/>
      <c r="AH236" s="10"/>
      <c r="AI236" s="10"/>
      <c r="AJ236" s="10"/>
      <c r="AK236" s="10"/>
      <c r="AL236" s="10"/>
      <c r="AM236" s="10"/>
      <c r="AN236" s="10"/>
      <c r="AO236" s="10"/>
      <c r="AP236" s="10"/>
      <c r="AQ236" s="10"/>
      <c r="AR236" s="10"/>
      <c r="AS236" s="10"/>
    </row>
    <row r="237" spans="1:45" ht="28">
      <c r="A237" s="10"/>
      <c r="B237" s="10"/>
      <c r="C237" s="10"/>
      <c r="D237" s="10"/>
      <c r="E237" s="10"/>
      <c r="F237" s="10"/>
      <c r="G237" s="10"/>
      <c r="H237" s="10"/>
      <c r="I237" s="10"/>
      <c r="J237" s="10"/>
      <c r="K237" s="54" t="s">
        <v>132</v>
      </c>
      <c r="L237" s="4" t="s">
        <v>386</v>
      </c>
      <c r="M237" s="10"/>
      <c r="N237" s="10"/>
      <c r="O237" s="10"/>
      <c r="P237" s="10"/>
      <c r="Q237" s="10"/>
      <c r="R237" s="10"/>
      <c r="S237" s="10"/>
      <c r="T237" s="10"/>
      <c r="U237" s="10"/>
      <c r="V237" s="10"/>
      <c r="W237" s="10"/>
      <c r="X237" s="10"/>
      <c r="Y237" s="10"/>
      <c r="Z237" s="10"/>
      <c r="AA237" s="10"/>
      <c r="AB237" s="70" t="s">
        <v>65</v>
      </c>
      <c r="AC237" s="70" t="s">
        <v>1748</v>
      </c>
      <c r="AD237" s="70"/>
      <c r="AE237" s="53"/>
      <c r="AF237" s="10"/>
      <c r="AG237" s="10"/>
      <c r="AH237" s="10"/>
      <c r="AI237" s="10"/>
      <c r="AJ237" s="10"/>
      <c r="AK237" s="10"/>
      <c r="AL237" s="10"/>
      <c r="AM237" s="10"/>
      <c r="AN237" s="10"/>
      <c r="AO237" s="10"/>
      <c r="AP237" s="10"/>
      <c r="AQ237" s="10"/>
      <c r="AR237" s="10"/>
      <c r="AS237" s="10"/>
    </row>
    <row r="238" spans="1:45" ht="42">
      <c r="A238" s="10"/>
      <c r="B238" s="10"/>
      <c r="C238" s="10"/>
      <c r="D238" s="10"/>
      <c r="E238" s="10"/>
      <c r="F238" s="10"/>
      <c r="G238" s="10"/>
      <c r="H238" s="10"/>
      <c r="I238" s="10"/>
      <c r="J238" s="10"/>
      <c r="K238" s="54" t="s">
        <v>136</v>
      </c>
      <c r="L238" s="4" t="s">
        <v>325</v>
      </c>
      <c r="M238" s="10"/>
      <c r="N238" s="10"/>
      <c r="O238" s="10"/>
      <c r="P238" s="10"/>
      <c r="Q238" s="10"/>
      <c r="R238" s="10"/>
      <c r="S238" s="10"/>
      <c r="T238" s="10"/>
      <c r="U238" s="10"/>
      <c r="V238" s="10"/>
      <c r="W238" s="10"/>
      <c r="X238" s="10"/>
      <c r="Y238" s="10"/>
      <c r="Z238" s="10"/>
      <c r="AA238" s="10"/>
      <c r="AB238" s="70" t="s">
        <v>69</v>
      </c>
      <c r="AC238" s="70" t="s">
        <v>1627</v>
      </c>
      <c r="AD238" s="70" t="s">
        <v>1749</v>
      </c>
      <c r="AE238" s="53" t="s">
        <v>1677</v>
      </c>
      <c r="AF238" s="10"/>
      <c r="AG238" s="10"/>
      <c r="AH238" s="10"/>
      <c r="AI238" s="10"/>
      <c r="AJ238" s="10"/>
      <c r="AK238" s="10"/>
      <c r="AL238" s="10"/>
      <c r="AM238" s="10"/>
      <c r="AN238" s="10"/>
      <c r="AO238" s="10"/>
      <c r="AP238" s="10"/>
      <c r="AQ238" s="10"/>
      <c r="AR238" s="10"/>
      <c r="AS238" s="10"/>
    </row>
    <row r="239" spans="1:45" ht="14">
      <c r="A239" s="10"/>
      <c r="B239" s="10"/>
      <c r="C239" s="10"/>
      <c r="D239" s="10"/>
      <c r="E239" s="10"/>
      <c r="F239" s="10"/>
      <c r="G239" s="10"/>
      <c r="H239" s="10"/>
      <c r="I239" s="10"/>
      <c r="J239" s="10"/>
      <c r="K239" s="54" t="s">
        <v>140</v>
      </c>
      <c r="L239" s="4" t="s">
        <v>657</v>
      </c>
      <c r="M239" s="10"/>
      <c r="N239" s="10"/>
      <c r="O239" s="10"/>
      <c r="P239" s="10"/>
      <c r="Q239" s="10"/>
      <c r="R239" s="10"/>
      <c r="S239" s="10"/>
      <c r="T239" s="10"/>
      <c r="U239" s="10"/>
      <c r="V239" s="10"/>
      <c r="W239" s="10"/>
      <c r="X239" s="10"/>
      <c r="Y239" s="10"/>
      <c r="Z239" s="10"/>
      <c r="AA239" s="10"/>
      <c r="AB239" s="70" t="s">
        <v>69</v>
      </c>
      <c r="AC239" s="70" t="s">
        <v>1694</v>
      </c>
      <c r="AD239" s="70" t="s">
        <v>1750</v>
      </c>
      <c r="AE239" s="53"/>
      <c r="AF239" s="10"/>
      <c r="AG239" s="10"/>
      <c r="AH239" s="10"/>
      <c r="AI239" s="10"/>
      <c r="AJ239" s="10"/>
      <c r="AK239" s="10"/>
      <c r="AL239" s="10"/>
      <c r="AM239" s="10"/>
      <c r="AN239" s="10"/>
      <c r="AO239" s="10"/>
      <c r="AP239" s="10"/>
      <c r="AQ239" s="10"/>
      <c r="AR239" s="10"/>
      <c r="AS239" s="10"/>
    </row>
    <row r="240" spans="1:45" ht="14">
      <c r="A240" s="10"/>
      <c r="B240" s="10"/>
      <c r="C240" s="10"/>
      <c r="D240" s="10"/>
      <c r="E240" s="10"/>
      <c r="F240" s="10"/>
      <c r="G240" s="10"/>
      <c r="H240" s="10"/>
      <c r="I240" s="10"/>
      <c r="J240" s="10"/>
      <c r="K240" s="54" t="s">
        <v>140</v>
      </c>
      <c r="L240" s="4" t="s">
        <v>1681</v>
      </c>
      <c r="M240" s="10"/>
      <c r="N240" s="10"/>
      <c r="O240" s="10"/>
      <c r="P240" s="10"/>
      <c r="Q240" s="10"/>
      <c r="R240" s="10"/>
      <c r="S240" s="10"/>
      <c r="T240" s="10"/>
      <c r="U240" s="10"/>
      <c r="V240" s="10"/>
      <c r="W240" s="10"/>
      <c r="X240" s="10"/>
      <c r="Y240" s="10"/>
      <c r="Z240" s="10"/>
      <c r="AA240" s="10"/>
      <c r="AB240" s="70" t="s">
        <v>69</v>
      </c>
      <c r="AC240" s="70"/>
      <c r="AD240" s="70" t="s">
        <v>1734</v>
      </c>
      <c r="AE240" s="53" t="s">
        <v>1734</v>
      </c>
      <c r="AF240" s="10"/>
      <c r="AG240" s="10"/>
      <c r="AH240" s="10"/>
      <c r="AI240" s="10"/>
      <c r="AJ240" s="10"/>
      <c r="AK240" s="10"/>
      <c r="AL240" s="10"/>
      <c r="AM240" s="10"/>
      <c r="AN240" s="10"/>
      <c r="AO240" s="10"/>
      <c r="AP240" s="10"/>
      <c r="AQ240" s="10"/>
      <c r="AR240" s="10"/>
      <c r="AS240" s="10"/>
    </row>
    <row r="241" spans="1:45" ht="28">
      <c r="A241" s="10"/>
      <c r="B241" s="10"/>
      <c r="C241" s="10"/>
      <c r="D241" s="10"/>
      <c r="E241" s="10"/>
      <c r="F241" s="10"/>
      <c r="G241" s="10"/>
      <c r="H241" s="10"/>
      <c r="I241" s="10"/>
      <c r="J241" s="10"/>
      <c r="K241" s="54" t="s">
        <v>144</v>
      </c>
      <c r="L241" s="4" t="s">
        <v>325</v>
      </c>
      <c r="M241" s="10"/>
      <c r="N241" s="10"/>
      <c r="O241" s="10"/>
      <c r="P241" s="10"/>
      <c r="Q241" s="10"/>
      <c r="R241" s="10"/>
      <c r="S241" s="10"/>
      <c r="T241" s="10"/>
      <c r="U241" s="10"/>
      <c r="V241" s="10"/>
      <c r="W241" s="10"/>
      <c r="X241" s="10"/>
      <c r="Y241" s="10"/>
      <c r="Z241" s="10"/>
      <c r="AA241" s="10"/>
      <c r="AB241" s="70" t="s">
        <v>72</v>
      </c>
      <c r="AC241" s="70" t="s">
        <v>1703</v>
      </c>
      <c r="AD241" s="70" t="s">
        <v>1751</v>
      </c>
      <c r="AE241" s="53"/>
      <c r="AF241" s="10"/>
      <c r="AG241" s="10"/>
      <c r="AH241" s="10"/>
      <c r="AI241" s="10"/>
      <c r="AJ241" s="10"/>
      <c r="AK241" s="10"/>
      <c r="AL241" s="10"/>
      <c r="AM241" s="10"/>
      <c r="AN241" s="10"/>
      <c r="AO241" s="10"/>
      <c r="AP241" s="10"/>
      <c r="AQ241" s="10"/>
      <c r="AR241" s="10"/>
      <c r="AS241" s="10"/>
    </row>
    <row r="242" spans="1:45" ht="28">
      <c r="A242" s="10"/>
      <c r="B242" s="10"/>
      <c r="C242" s="10"/>
      <c r="D242" s="10"/>
      <c r="E242" s="10"/>
      <c r="F242" s="10"/>
      <c r="G242" s="10"/>
      <c r="H242" s="10"/>
      <c r="I242" s="10"/>
      <c r="J242" s="10"/>
      <c r="K242" s="54" t="s">
        <v>147</v>
      </c>
      <c r="L242" s="4" t="s">
        <v>325</v>
      </c>
      <c r="M242" s="10"/>
      <c r="N242" s="10"/>
      <c r="O242" s="10"/>
      <c r="P242" s="10"/>
      <c r="Q242" s="10"/>
      <c r="R242" s="10"/>
      <c r="S242" s="10"/>
      <c r="T242" s="10"/>
      <c r="U242" s="10"/>
      <c r="V242" s="10"/>
      <c r="W242" s="10"/>
      <c r="X242" s="10"/>
      <c r="Y242" s="10"/>
      <c r="Z242" s="10"/>
      <c r="AA242" s="10"/>
      <c r="AB242" s="70" t="s">
        <v>72</v>
      </c>
      <c r="AC242" s="70" t="s">
        <v>1627</v>
      </c>
      <c r="AD242" s="70" t="s">
        <v>1752</v>
      </c>
      <c r="AE242" s="53" t="s">
        <v>1753</v>
      </c>
      <c r="AF242" s="10"/>
      <c r="AG242" s="10"/>
      <c r="AH242" s="10"/>
      <c r="AI242" s="10"/>
      <c r="AJ242" s="10"/>
      <c r="AK242" s="10"/>
      <c r="AL242" s="10"/>
      <c r="AM242" s="10"/>
      <c r="AN242" s="10"/>
      <c r="AO242" s="10"/>
      <c r="AP242" s="10"/>
      <c r="AQ242" s="10"/>
      <c r="AR242" s="10"/>
      <c r="AS242" s="10"/>
    </row>
    <row r="243" spans="1:45" ht="14">
      <c r="A243" s="10"/>
      <c r="B243" s="10"/>
      <c r="C243" s="10"/>
      <c r="D243" s="10"/>
      <c r="E243" s="10"/>
      <c r="F243" s="10"/>
      <c r="G243" s="10"/>
      <c r="H243" s="10"/>
      <c r="I243" s="10"/>
      <c r="J243" s="10"/>
      <c r="K243" s="54" t="s">
        <v>151</v>
      </c>
      <c r="L243" s="4" t="s">
        <v>1666</v>
      </c>
      <c r="M243" s="10"/>
      <c r="N243" s="10"/>
      <c r="O243" s="10"/>
      <c r="P243" s="10"/>
      <c r="Q243" s="10"/>
      <c r="R243" s="10"/>
      <c r="S243" s="10"/>
      <c r="T243" s="10"/>
      <c r="U243" s="10"/>
      <c r="V243" s="10"/>
      <c r="W243" s="10"/>
      <c r="X243" s="10"/>
      <c r="Y243" s="10"/>
      <c r="Z243" s="10"/>
      <c r="AA243" s="10"/>
      <c r="AB243" s="70" t="s">
        <v>72</v>
      </c>
      <c r="AC243" s="70" t="s">
        <v>1637</v>
      </c>
      <c r="AD243" s="70" t="s">
        <v>1754</v>
      </c>
      <c r="AE243" s="53" t="s">
        <v>1705</v>
      </c>
      <c r="AF243" s="10"/>
      <c r="AG243" s="10"/>
      <c r="AH243" s="10"/>
      <c r="AI243" s="10"/>
      <c r="AJ243" s="10"/>
      <c r="AK243" s="10"/>
      <c r="AL243" s="10"/>
      <c r="AM243" s="10"/>
      <c r="AN243" s="10"/>
      <c r="AO243" s="10"/>
      <c r="AP243" s="10"/>
      <c r="AQ243" s="10"/>
      <c r="AR243" s="10"/>
      <c r="AS243" s="10"/>
    </row>
    <row r="244" spans="1:45" ht="14">
      <c r="A244" s="10"/>
      <c r="B244" s="10"/>
      <c r="C244" s="10"/>
      <c r="D244" s="10"/>
      <c r="E244" s="10"/>
      <c r="F244" s="10"/>
      <c r="G244" s="10"/>
      <c r="H244" s="10"/>
      <c r="I244" s="10"/>
      <c r="J244" s="10"/>
      <c r="K244" s="54" t="s">
        <v>151</v>
      </c>
      <c r="L244" s="4" t="s">
        <v>1755</v>
      </c>
      <c r="M244" s="10"/>
      <c r="N244" s="10"/>
      <c r="O244" s="10"/>
      <c r="P244" s="10"/>
      <c r="Q244" s="10"/>
      <c r="R244" s="10"/>
      <c r="S244" s="10"/>
      <c r="T244" s="10"/>
      <c r="U244" s="10"/>
      <c r="V244" s="10"/>
      <c r="W244" s="10"/>
      <c r="X244" s="10"/>
      <c r="Y244" s="10"/>
      <c r="Z244" s="10"/>
      <c r="AA244" s="10"/>
      <c r="AB244" s="70" t="s">
        <v>72</v>
      </c>
      <c r="AC244" s="70" t="s">
        <v>1694</v>
      </c>
      <c r="AD244" s="70"/>
      <c r="AE244" s="53"/>
      <c r="AF244" s="10"/>
      <c r="AG244" s="10"/>
      <c r="AH244" s="10"/>
      <c r="AI244" s="10"/>
      <c r="AJ244" s="10"/>
      <c r="AK244" s="10"/>
      <c r="AL244" s="10"/>
      <c r="AM244" s="10"/>
      <c r="AN244" s="10"/>
      <c r="AO244" s="10"/>
      <c r="AP244" s="10"/>
      <c r="AQ244" s="10"/>
      <c r="AR244" s="10"/>
      <c r="AS244" s="10"/>
    </row>
    <row r="245" spans="1:45" ht="28">
      <c r="A245" s="10"/>
      <c r="B245" s="10"/>
      <c r="C245" s="10"/>
      <c r="D245" s="10"/>
      <c r="E245" s="10"/>
      <c r="F245" s="10"/>
      <c r="G245" s="10"/>
      <c r="H245" s="10"/>
      <c r="I245" s="10"/>
      <c r="J245" s="10"/>
      <c r="K245" s="54" t="s">
        <v>151</v>
      </c>
      <c r="L245" s="4" t="s">
        <v>657</v>
      </c>
      <c r="M245" s="10"/>
      <c r="N245" s="10"/>
      <c r="O245" s="10"/>
      <c r="P245" s="10"/>
      <c r="Q245" s="10"/>
      <c r="R245" s="10"/>
      <c r="S245" s="10"/>
      <c r="T245" s="10"/>
      <c r="U245" s="10"/>
      <c r="V245" s="10"/>
      <c r="W245" s="10"/>
      <c r="X245" s="10"/>
      <c r="Y245" s="10"/>
      <c r="Z245" s="10"/>
      <c r="AA245" s="10"/>
      <c r="AB245" s="70" t="s">
        <v>72</v>
      </c>
      <c r="AC245" s="70" t="s">
        <v>1671</v>
      </c>
      <c r="AD245" s="70"/>
      <c r="AE245" s="53"/>
      <c r="AF245" s="10"/>
      <c r="AG245" s="10"/>
      <c r="AH245" s="10"/>
      <c r="AI245" s="10"/>
      <c r="AJ245" s="10"/>
      <c r="AK245" s="10"/>
      <c r="AL245" s="10"/>
      <c r="AM245" s="10"/>
      <c r="AN245" s="10"/>
      <c r="AO245" s="10"/>
      <c r="AP245" s="10"/>
      <c r="AQ245" s="10"/>
      <c r="AR245" s="10"/>
      <c r="AS245" s="10"/>
    </row>
    <row r="246" spans="1:45" ht="14">
      <c r="A246" s="10"/>
      <c r="B246" s="10"/>
      <c r="C246" s="10"/>
      <c r="D246" s="10"/>
      <c r="E246" s="10"/>
      <c r="F246" s="10"/>
      <c r="G246" s="10"/>
      <c r="H246" s="10"/>
      <c r="I246" s="10"/>
      <c r="J246" s="10"/>
      <c r="K246" s="54" t="s">
        <v>155</v>
      </c>
      <c r="L246" s="4" t="s">
        <v>657</v>
      </c>
      <c r="M246" s="10"/>
      <c r="N246" s="10"/>
      <c r="O246" s="10"/>
      <c r="P246" s="10"/>
      <c r="Q246" s="10"/>
      <c r="R246" s="10"/>
      <c r="S246" s="10"/>
      <c r="T246" s="10"/>
      <c r="U246" s="10"/>
      <c r="V246" s="10"/>
      <c r="W246" s="10"/>
      <c r="X246" s="10"/>
      <c r="Y246" s="10"/>
      <c r="Z246" s="10"/>
      <c r="AA246" s="10"/>
      <c r="AB246" s="70" t="s">
        <v>75</v>
      </c>
      <c r="AC246" s="77" t="s">
        <v>521</v>
      </c>
      <c r="AD246" s="70" t="s">
        <v>1756</v>
      </c>
      <c r="AE246" s="53" t="s">
        <v>1756</v>
      </c>
      <c r="AF246" s="10"/>
      <c r="AG246" s="10"/>
      <c r="AH246" s="10"/>
      <c r="AI246" s="10"/>
      <c r="AJ246" s="10"/>
      <c r="AK246" s="10"/>
      <c r="AL246" s="10"/>
      <c r="AM246" s="10"/>
      <c r="AN246" s="10"/>
      <c r="AO246" s="10"/>
      <c r="AP246" s="10"/>
      <c r="AQ246" s="10"/>
      <c r="AR246" s="10"/>
      <c r="AS246" s="10"/>
    </row>
    <row r="247" spans="1:45" ht="14">
      <c r="A247" s="10"/>
      <c r="B247" s="10"/>
      <c r="C247" s="10"/>
      <c r="D247" s="10"/>
      <c r="E247" s="10"/>
      <c r="F247" s="10"/>
      <c r="G247" s="10"/>
      <c r="H247" s="10"/>
      <c r="I247" s="10"/>
      <c r="J247" s="10"/>
      <c r="K247" s="54" t="s">
        <v>155</v>
      </c>
      <c r="L247" s="4" t="s">
        <v>1681</v>
      </c>
      <c r="M247" s="10"/>
      <c r="N247" s="10"/>
      <c r="O247" s="10"/>
      <c r="P247" s="10"/>
      <c r="Q247" s="10"/>
      <c r="R247" s="10"/>
      <c r="S247" s="10"/>
      <c r="T247" s="10"/>
      <c r="U247" s="10"/>
      <c r="V247" s="10"/>
      <c r="W247" s="10"/>
      <c r="X247" s="10"/>
      <c r="Y247" s="10"/>
      <c r="Z247" s="10"/>
      <c r="AA247" s="10"/>
      <c r="AB247" s="70" t="s">
        <v>75</v>
      </c>
      <c r="AC247" s="42" t="s">
        <v>1615</v>
      </c>
      <c r="AD247" s="70" t="s">
        <v>1757</v>
      </c>
      <c r="AE247" s="53" t="s">
        <v>1677</v>
      </c>
      <c r="AF247" s="10"/>
      <c r="AG247" s="10"/>
      <c r="AH247" s="10"/>
      <c r="AI247" s="10"/>
      <c r="AJ247" s="10"/>
      <c r="AK247" s="10"/>
      <c r="AL247" s="10"/>
      <c r="AM247" s="10"/>
      <c r="AN247" s="10"/>
      <c r="AO247" s="10"/>
      <c r="AP247" s="10"/>
      <c r="AQ247" s="10"/>
      <c r="AR247" s="10"/>
      <c r="AS247" s="10"/>
    </row>
    <row r="248" spans="1:45" ht="28">
      <c r="A248" s="10"/>
      <c r="B248" s="10"/>
      <c r="C248" s="10"/>
      <c r="D248" s="10"/>
      <c r="E248" s="10"/>
      <c r="F248" s="10"/>
      <c r="G248" s="10"/>
      <c r="H248" s="10"/>
      <c r="I248" s="10"/>
      <c r="J248" s="10"/>
      <c r="K248" s="54" t="s">
        <v>155</v>
      </c>
      <c r="L248" s="4" t="s">
        <v>1666</v>
      </c>
      <c r="M248" s="10"/>
      <c r="N248" s="10"/>
      <c r="O248" s="10"/>
      <c r="P248" s="10"/>
      <c r="Q248" s="10"/>
      <c r="R248" s="10"/>
      <c r="S248" s="10"/>
      <c r="T248" s="10"/>
      <c r="U248" s="10"/>
      <c r="V248" s="10"/>
      <c r="W248" s="10"/>
      <c r="X248" s="10"/>
      <c r="Y248" s="10"/>
      <c r="Z248" s="10"/>
      <c r="AA248" s="10"/>
      <c r="AB248" s="70" t="s">
        <v>75</v>
      </c>
      <c r="AC248" s="70" t="s">
        <v>1627</v>
      </c>
      <c r="AD248" s="47"/>
      <c r="AE248" s="53"/>
      <c r="AF248" s="10"/>
      <c r="AG248" s="10"/>
      <c r="AH248" s="10"/>
      <c r="AI248" s="10"/>
      <c r="AJ248" s="10"/>
      <c r="AK248" s="10"/>
      <c r="AL248" s="10"/>
      <c r="AM248" s="10"/>
      <c r="AN248" s="10"/>
      <c r="AO248" s="10"/>
      <c r="AP248" s="10"/>
      <c r="AQ248" s="10"/>
      <c r="AR248" s="10"/>
      <c r="AS248" s="10"/>
    </row>
    <row r="249" spans="1:45" ht="14">
      <c r="A249" s="10"/>
      <c r="B249" s="10"/>
      <c r="C249" s="10"/>
      <c r="D249" s="10"/>
      <c r="E249" s="10"/>
      <c r="F249" s="10"/>
      <c r="G249" s="10"/>
      <c r="H249" s="10"/>
      <c r="I249" s="10"/>
      <c r="J249" s="10"/>
      <c r="K249" s="54" t="s">
        <v>159</v>
      </c>
      <c r="L249" s="4" t="s">
        <v>1651</v>
      </c>
      <c r="M249" s="10"/>
      <c r="N249" s="10"/>
      <c r="O249" s="10"/>
      <c r="P249" s="10"/>
      <c r="Q249" s="10"/>
      <c r="R249" s="10"/>
      <c r="S249" s="10"/>
      <c r="T249" s="10"/>
      <c r="U249" s="10"/>
      <c r="V249" s="10"/>
      <c r="W249" s="10"/>
      <c r="X249" s="10"/>
      <c r="Y249" s="10"/>
      <c r="Z249" s="10"/>
      <c r="AA249" s="10"/>
      <c r="AB249" s="70" t="s">
        <v>75</v>
      </c>
      <c r="AC249" s="70" t="s">
        <v>1694</v>
      </c>
      <c r="AD249" s="47"/>
      <c r="AE249" s="53"/>
      <c r="AF249" s="10"/>
      <c r="AG249" s="10"/>
      <c r="AH249" s="10"/>
      <c r="AI249" s="10"/>
      <c r="AJ249" s="10"/>
      <c r="AK249" s="10"/>
      <c r="AL249" s="10"/>
      <c r="AM249" s="10"/>
      <c r="AN249" s="10"/>
      <c r="AO249" s="10"/>
      <c r="AP249" s="10"/>
      <c r="AQ249" s="10"/>
      <c r="AR249" s="10"/>
      <c r="AS249" s="10"/>
    </row>
    <row r="250" spans="1:45" ht="28">
      <c r="A250" s="10"/>
      <c r="B250" s="10"/>
      <c r="C250" s="10"/>
      <c r="D250" s="10"/>
      <c r="E250" s="10"/>
      <c r="F250" s="10"/>
      <c r="G250" s="10"/>
      <c r="H250" s="10"/>
      <c r="I250" s="10"/>
      <c r="J250" s="10"/>
      <c r="K250" s="54" t="s">
        <v>159</v>
      </c>
      <c r="L250" s="4" t="s">
        <v>657</v>
      </c>
      <c r="M250" s="10"/>
      <c r="N250" s="10"/>
      <c r="O250" s="10"/>
      <c r="P250" s="10"/>
      <c r="Q250" s="10"/>
      <c r="R250" s="10"/>
      <c r="S250" s="10"/>
      <c r="T250" s="10"/>
      <c r="U250" s="10"/>
      <c r="V250" s="10"/>
      <c r="W250" s="10"/>
      <c r="X250" s="10"/>
      <c r="Y250" s="10"/>
      <c r="Z250" s="10"/>
      <c r="AA250" s="10"/>
      <c r="AB250" s="42" t="s">
        <v>79</v>
      </c>
      <c r="AC250" s="70" t="s">
        <v>1643</v>
      </c>
      <c r="AD250" s="70" t="s">
        <v>1758</v>
      </c>
      <c r="AE250" s="53" t="s">
        <v>1677</v>
      </c>
      <c r="AF250" s="10"/>
      <c r="AG250" s="10"/>
      <c r="AH250" s="10"/>
      <c r="AI250" s="10"/>
      <c r="AJ250" s="10"/>
      <c r="AK250" s="10"/>
      <c r="AL250" s="10"/>
      <c r="AM250" s="10"/>
      <c r="AN250" s="10"/>
      <c r="AO250" s="10"/>
      <c r="AP250" s="10"/>
      <c r="AQ250" s="10"/>
      <c r="AR250" s="10"/>
      <c r="AS250" s="10"/>
    </row>
    <row r="251" spans="1:45" ht="28">
      <c r="A251" s="10"/>
      <c r="B251" s="10"/>
      <c r="C251" s="10"/>
      <c r="D251" s="10"/>
      <c r="E251" s="10"/>
      <c r="F251" s="10"/>
      <c r="G251" s="10"/>
      <c r="H251" s="10"/>
      <c r="I251" s="10"/>
      <c r="J251" s="10"/>
      <c r="K251" s="54" t="s">
        <v>159</v>
      </c>
      <c r="L251" s="4" t="s">
        <v>1636</v>
      </c>
      <c r="M251" s="10"/>
      <c r="N251" s="10"/>
      <c r="O251" s="10"/>
      <c r="P251" s="10"/>
      <c r="Q251" s="10"/>
      <c r="R251" s="10"/>
      <c r="S251" s="10"/>
      <c r="T251" s="10"/>
      <c r="U251" s="10"/>
      <c r="V251" s="10"/>
      <c r="W251" s="10"/>
      <c r="X251" s="10"/>
      <c r="Y251" s="10"/>
      <c r="Z251" s="10"/>
      <c r="AA251" s="10"/>
      <c r="AB251" s="42" t="s">
        <v>79</v>
      </c>
      <c r="AC251" s="70" t="s">
        <v>1671</v>
      </c>
      <c r="AD251" s="70" t="s">
        <v>1759</v>
      </c>
      <c r="AE251" s="53" t="s">
        <v>1705</v>
      </c>
      <c r="AF251" s="10"/>
      <c r="AG251" s="10"/>
      <c r="AH251" s="10"/>
      <c r="AI251" s="10"/>
      <c r="AJ251" s="10"/>
      <c r="AK251" s="10"/>
      <c r="AL251" s="10"/>
      <c r="AM251" s="10"/>
      <c r="AN251" s="10"/>
      <c r="AO251" s="10"/>
      <c r="AP251" s="10"/>
      <c r="AQ251" s="10"/>
      <c r="AR251" s="10"/>
      <c r="AS251" s="10"/>
    </row>
    <row r="252" spans="1:45" ht="28">
      <c r="A252" s="10"/>
      <c r="B252" s="10"/>
      <c r="C252" s="10"/>
      <c r="D252" s="10"/>
      <c r="E252" s="10"/>
      <c r="F252" s="10"/>
      <c r="G252" s="10"/>
      <c r="H252" s="10"/>
      <c r="I252" s="10"/>
      <c r="J252" s="10"/>
      <c r="K252" s="54" t="s">
        <v>163</v>
      </c>
      <c r="L252" s="4" t="s">
        <v>325</v>
      </c>
      <c r="M252" s="10"/>
      <c r="N252" s="10"/>
      <c r="O252" s="10"/>
      <c r="P252" s="10"/>
      <c r="Q252" s="10"/>
      <c r="R252" s="10"/>
      <c r="S252" s="10"/>
      <c r="T252" s="10"/>
      <c r="U252" s="10"/>
      <c r="V252" s="10"/>
      <c r="W252" s="10"/>
      <c r="X252" s="10"/>
      <c r="Y252" s="10"/>
      <c r="Z252" s="10"/>
      <c r="AA252" s="10"/>
      <c r="AB252" s="42" t="s">
        <v>79</v>
      </c>
      <c r="AC252" s="70" t="s">
        <v>1627</v>
      </c>
      <c r="AD252" s="47"/>
      <c r="AE252" s="53"/>
      <c r="AF252" s="10"/>
      <c r="AG252" s="10"/>
      <c r="AH252" s="10"/>
      <c r="AI252" s="10"/>
      <c r="AJ252" s="10"/>
      <c r="AK252" s="10"/>
      <c r="AL252" s="10"/>
      <c r="AM252" s="10"/>
      <c r="AN252" s="10"/>
      <c r="AO252" s="10"/>
      <c r="AP252" s="10"/>
      <c r="AQ252" s="10"/>
      <c r="AR252" s="10"/>
      <c r="AS252" s="10"/>
    </row>
    <row r="253" spans="1:45" ht="13">
      <c r="A253" s="10"/>
      <c r="B253" s="10"/>
      <c r="C253" s="10"/>
      <c r="D253" s="10"/>
      <c r="E253" s="10"/>
      <c r="F253" s="10"/>
      <c r="G253" s="10"/>
      <c r="H253" s="10"/>
      <c r="I253" s="10"/>
      <c r="J253" s="10"/>
      <c r="K253" s="54" t="s">
        <v>168</v>
      </c>
      <c r="L253" s="4" t="s">
        <v>1631</v>
      </c>
      <c r="M253" s="10"/>
      <c r="N253" s="10"/>
      <c r="O253" s="10"/>
      <c r="P253" s="10"/>
      <c r="Q253" s="10"/>
      <c r="R253" s="10"/>
      <c r="S253" s="10"/>
      <c r="T253" s="10"/>
      <c r="U253" s="10"/>
      <c r="V253" s="10"/>
      <c r="W253" s="10"/>
      <c r="X253" s="10"/>
      <c r="Y253" s="10"/>
      <c r="Z253" s="10"/>
      <c r="AA253" s="10"/>
      <c r="AB253" s="42" t="s">
        <v>79</v>
      </c>
      <c r="AC253" s="42" t="s">
        <v>1619</v>
      </c>
      <c r="AD253" s="47"/>
      <c r="AE253" s="53"/>
      <c r="AF253" s="10"/>
      <c r="AG253" s="10"/>
      <c r="AH253" s="10"/>
      <c r="AI253" s="10"/>
      <c r="AJ253" s="10"/>
      <c r="AK253" s="10"/>
      <c r="AL253" s="10"/>
      <c r="AM253" s="10"/>
      <c r="AN253" s="10"/>
      <c r="AO253" s="10"/>
      <c r="AP253" s="10"/>
      <c r="AQ253" s="10"/>
      <c r="AR253" s="10"/>
      <c r="AS253" s="10"/>
    </row>
    <row r="254" spans="1:45" ht="28">
      <c r="A254" s="10"/>
      <c r="B254" s="10"/>
      <c r="C254" s="10"/>
      <c r="D254" s="10"/>
      <c r="E254" s="10"/>
      <c r="F254" s="10"/>
      <c r="G254" s="10"/>
      <c r="H254" s="10"/>
      <c r="I254" s="10"/>
      <c r="J254" s="10"/>
      <c r="K254" s="54" t="s">
        <v>172</v>
      </c>
      <c r="L254" s="4" t="s">
        <v>1631</v>
      </c>
      <c r="M254" s="10"/>
      <c r="N254" s="10"/>
      <c r="O254" s="10"/>
      <c r="P254" s="10"/>
      <c r="Q254" s="10"/>
      <c r="R254" s="10"/>
      <c r="S254" s="10"/>
      <c r="T254" s="10"/>
      <c r="U254" s="10"/>
      <c r="V254" s="10"/>
      <c r="W254" s="10"/>
      <c r="X254" s="10"/>
      <c r="Y254" s="10"/>
      <c r="Z254" s="10"/>
      <c r="AA254" s="10"/>
      <c r="AB254" s="42" t="s">
        <v>84</v>
      </c>
      <c r="AC254" s="42" t="s">
        <v>1683</v>
      </c>
      <c r="AD254" s="70" t="s">
        <v>1760</v>
      </c>
      <c r="AE254" s="53" t="s">
        <v>1677</v>
      </c>
      <c r="AF254" s="10"/>
      <c r="AG254" s="10"/>
      <c r="AH254" s="10"/>
      <c r="AI254" s="10"/>
      <c r="AJ254" s="10"/>
      <c r="AK254" s="10"/>
      <c r="AL254" s="10"/>
      <c r="AM254" s="10"/>
      <c r="AN254" s="10"/>
      <c r="AO254" s="10"/>
      <c r="AP254" s="10"/>
      <c r="AQ254" s="10"/>
      <c r="AR254" s="10"/>
      <c r="AS254" s="10"/>
    </row>
    <row r="255" spans="1:45" ht="28">
      <c r="A255" s="10"/>
      <c r="B255" s="10"/>
      <c r="C255" s="10"/>
      <c r="D255" s="10"/>
      <c r="E255" s="10"/>
      <c r="F255" s="10"/>
      <c r="G255" s="10"/>
      <c r="H255" s="10"/>
      <c r="I255" s="10"/>
      <c r="J255" s="10"/>
      <c r="K255" s="4" t="s">
        <v>172</v>
      </c>
      <c r="L255" s="61" t="s">
        <v>1719</v>
      </c>
      <c r="M255" s="10"/>
      <c r="N255" s="10"/>
      <c r="O255" s="10"/>
      <c r="P255" s="10"/>
      <c r="Q255" s="10"/>
      <c r="R255" s="10"/>
      <c r="S255" s="10"/>
      <c r="T255" s="10"/>
      <c r="U255" s="10"/>
      <c r="V255" s="10"/>
      <c r="W255" s="10"/>
      <c r="X255" s="10"/>
      <c r="Y255" s="10"/>
      <c r="Z255" s="10"/>
      <c r="AA255" s="10"/>
      <c r="AB255" s="42" t="s">
        <v>84</v>
      </c>
      <c r="AC255" s="70" t="s">
        <v>1643</v>
      </c>
      <c r="AD255" s="70" t="s">
        <v>1761</v>
      </c>
      <c r="AE255" s="53" t="s">
        <v>1705</v>
      </c>
      <c r="AF255" s="10"/>
      <c r="AG255" s="10"/>
      <c r="AH255" s="10"/>
      <c r="AI255" s="10"/>
      <c r="AJ255" s="10"/>
      <c r="AK255" s="10"/>
      <c r="AL255" s="10"/>
      <c r="AM255" s="10"/>
      <c r="AN255" s="10"/>
      <c r="AO255" s="10"/>
      <c r="AP255" s="10"/>
      <c r="AQ255" s="10"/>
      <c r="AR255" s="10"/>
      <c r="AS255" s="10"/>
    </row>
    <row r="256" spans="1:45" ht="14">
      <c r="A256" s="10"/>
      <c r="B256" s="10"/>
      <c r="C256" s="10"/>
      <c r="D256" s="10"/>
      <c r="E256" s="10"/>
      <c r="F256" s="10"/>
      <c r="G256" s="10"/>
      <c r="H256" s="10"/>
      <c r="I256" s="10"/>
      <c r="J256" s="10"/>
      <c r="K256" s="54" t="s">
        <v>176</v>
      </c>
      <c r="L256" s="4" t="s">
        <v>386</v>
      </c>
      <c r="M256" s="10"/>
      <c r="N256" s="10"/>
      <c r="O256" s="10"/>
      <c r="P256" s="10"/>
      <c r="Q256" s="10"/>
      <c r="R256" s="10"/>
      <c r="S256" s="10"/>
      <c r="T256" s="10"/>
      <c r="U256" s="10"/>
      <c r="V256" s="10"/>
      <c r="W256" s="10"/>
      <c r="X256" s="10"/>
      <c r="Y256" s="10"/>
      <c r="Z256" s="10"/>
      <c r="AA256" s="10"/>
      <c r="AB256" s="42" t="s">
        <v>84</v>
      </c>
      <c r="AC256" s="70" t="s">
        <v>1615</v>
      </c>
      <c r="AD256" s="42" t="s">
        <v>1762</v>
      </c>
      <c r="AE256" s="42" t="s">
        <v>1762</v>
      </c>
      <c r="AF256" s="10"/>
      <c r="AG256" s="10"/>
      <c r="AH256" s="10"/>
      <c r="AI256" s="10"/>
      <c r="AJ256" s="10"/>
      <c r="AK256" s="10"/>
      <c r="AL256" s="10"/>
      <c r="AM256" s="10"/>
      <c r="AN256" s="10"/>
      <c r="AO256" s="10"/>
      <c r="AP256" s="10"/>
      <c r="AQ256" s="10"/>
      <c r="AR256" s="10"/>
      <c r="AS256" s="10"/>
    </row>
    <row r="257" spans="1:45" ht="28">
      <c r="A257" s="10"/>
      <c r="B257" s="10"/>
      <c r="C257" s="10"/>
      <c r="D257" s="10"/>
      <c r="E257" s="10"/>
      <c r="F257" s="10"/>
      <c r="G257" s="10"/>
      <c r="H257" s="10"/>
      <c r="I257" s="10"/>
      <c r="J257" s="10"/>
      <c r="K257" s="54" t="s">
        <v>180</v>
      </c>
      <c r="L257" s="4" t="s">
        <v>1719</v>
      </c>
      <c r="M257" s="10"/>
      <c r="N257" s="10"/>
      <c r="O257" s="10"/>
      <c r="P257" s="10"/>
      <c r="Q257" s="10"/>
      <c r="R257" s="10"/>
      <c r="S257" s="10"/>
      <c r="T257" s="10"/>
      <c r="U257" s="10"/>
      <c r="V257" s="10"/>
      <c r="W257" s="10"/>
      <c r="X257" s="10"/>
      <c r="Y257" s="10"/>
      <c r="Z257" s="10"/>
      <c r="AA257" s="10"/>
      <c r="AB257" s="42" t="s">
        <v>84</v>
      </c>
      <c r="AC257" s="70" t="s">
        <v>1627</v>
      </c>
      <c r="AD257" s="70"/>
      <c r="AE257" s="53"/>
      <c r="AF257" s="10"/>
      <c r="AG257" s="10"/>
      <c r="AH257" s="10"/>
      <c r="AI257" s="10"/>
      <c r="AJ257" s="10"/>
      <c r="AK257" s="10"/>
      <c r="AL257" s="10"/>
      <c r="AM257" s="10"/>
      <c r="AN257" s="10"/>
      <c r="AO257" s="10"/>
      <c r="AP257" s="10"/>
      <c r="AQ257" s="10"/>
      <c r="AR257" s="10"/>
      <c r="AS257" s="10"/>
    </row>
    <row r="258" spans="1:45" ht="28">
      <c r="A258" s="10"/>
      <c r="B258" s="10"/>
      <c r="C258" s="10"/>
      <c r="D258" s="10"/>
      <c r="E258" s="10"/>
      <c r="F258" s="10"/>
      <c r="G258" s="10"/>
      <c r="H258" s="10"/>
      <c r="I258" s="10"/>
      <c r="J258" s="10"/>
      <c r="K258" s="54" t="s">
        <v>180</v>
      </c>
      <c r="L258" s="4" t="s">
        <v>1631</v>
      </c>
      <c r="M258" s="10"/>
      <c r="N258" s="10"/>
      <c r="O258" s="10"/>
      <c r="P258" s="10"/>
      <c r="Q258" s="10"/>
      <c r="R258" s="10"/>
      <c r="S258" s="10"/>
      <c r="T258" s="10"/>
      <c r="U258" s="10"/>
      <c r="V258" s="10"/>
      <c r="W258" s="10"/>
      <c r="X258" s="10"/>
      <c r="Y258" s="10"/>
      <c r="Z258" s="10"/>
      <c r="AA258" s="10"/>
      <c r="AB258" s="42" t="s">
        <v>87</v>
      </c>
      <c r="AC258" s="70" t="s">
        <v>1655</v>
      </c>
      <c r="AD258" s="70" t="s">
        <v>1763</v>
      </c>
      <c r="AE258" s="53" t="s">
        <v>1621</v>
      </c>
      <c r="AF258" s="10"/>
      <c r="AG258" s="10"/>
      <c r="AH258" s="10"/>
      <c r="AI258" s="10"/>
      <c r="AJ258" s="10"/>
      <c r="AK258" s="10"/>
      <c r="AL258" s="10"/>
      <c r="AM258" s="10"/>
      <c r="AN258" s="10"/>
      <c r="AO258" s="10"/>
      <c r="AP258" s="10"/>
      <c r="AQ258" s="10"/>
      <c r="AR258" s="10"/>
      <c r="AS258" s="10"/>
    </row>
    <row r="259" spans="1:45" ht="28">
      <c r="A259" s="10"/>
      <c r="B259" s="10"/>
      <c r="C259" s="10"/>
      <c r="D259" s="10"/>
      <c r="E259" s="10"/>
      <c r="F259" s="10"/>
      <c r="G259" s="10"/>
      <c r="H259" s="10"/>
      <c r="I259" s="10"/>
      <c r="J259" s="10"/>
      <c r="K259" s="54" t="s">
        <v>180</v>
      </c>
      <c r="L259" s="4" t="s">
        <v>1666</v>
      </c>
      <c r="M259" s="10"/>
      <c r="N259" s="10"/>
      <c r="O259" s="10"/>
      <c r="P259" s="10"/>
      <c r="Q259" s="10"/>
      <c r="R259" s="10"/>
      <c r="S259" s="10"/>
      <c r="T259" s="10"/>
      <c r="U259" s="10"/>
      <c r="V259" s="10"/>
      <c r="W259" s="10"/>
      <c r="X259" s="10"/>
      <c r="Y259" s="10"/>
      <c r="Z259" s="10"/>
      <c r="AA259" s="10"/>
      <c r="AB259" s="42" t="s">
        <v>87</v>
      </c>
      <c r="AC259" s="70" t="s">
        <v>1748</v>
      </c>
      <c r="AD259" s="70"/>
      <c r="AE259" s="53"/>
      <c r="AF259" s="10"/>
      <c r="AG259" s="10"/>
      <c r="AH259" s="10"/>
      <c r="AI259" s="10"/>
      <c r="AJ259" s="10"/>
      <c r="AK259" s="10"/>
      <c r="AL259" s="10"/>
      <c r="AM259" s="10"/>
      <c r="AN259" s="10"/>
      <c r="AO259" s="10"/>
      <c r="AP259" s="10"/>
      <c r="AQ259" s="10"/>
      <c r="AR259" s="10"/>
      <c r="AS259" s="10"/>
    </row>
    <row r="260" spans="1:45" ht="14">
      <c r="A260" s="10"/>
      <c r="B260" s="10"/>
      <c r="C260" s="10"/>
      <c r="D260" s="10"/>
      <c r="E260" s="10"/>
      <c r="F260" s="10"/>
      <c r="G260" s="10"/>
      <c r="H260" s="10"/>
      <c r="I260" s="10"/>
      <c r="J260" s="10"/>
      <c r="K260" s="54" t="s">
        <v>180</v>
      </c>
      <c r="L260" s="4" t="s">
        <v>1764</v>
      </c>
      <c r="M260" s="10"/>
      <c r="N260" s="10"/>
      <c r="O260" s="10"/>
      <c r="P260" s="10"/>
      <c r="Q260" s="10"/>
      <c r="R260" s="10"/>
      <c r="S260" s="10"/>
      <c r="T260" s="10"/>
      <c r="U260" s="10"/>
      <c r="V260" s="10"/>
      <c r="W260" s="10"/>
      <c r="X260" s="10"/>
      <c r="Y260" s="10"/>
      <c r="Z260" s="10"/>
      <c r="AA260" s="10"/>
      <c r="AB260" s="42" t="s">
        <v>87</v>
      </c>
      <c r="AC260" s="70" t="s">
        <v>521</v>
      </c>
      <c r="AD260" s="70"/>
      <c r="AE260" s="53"/>
      <c r="AF260" s="10"/>
      <c r="AG260" s="10"/>
      <c r="AH260" s="10"/>
      <c r="AI260" s="10"/>
      <c r="AJ260" s="10"/>
      <c r="AK260" s="10"/>
      <c r="AL260" s="10"/>
      <c r="AM260" s="10"/>
      <c r="AN260" s="10"/>
      <c r="AO260" s="10"/>
      <c r="AP260" s="10"/>
      <c r="AQ260" s="10"/>
      <c r="AR260" s="10"/>
      <c r="AS260" s="10"/>
    </row>
    <row r="261" spans="1:45" ht="28">
      <c r="A261" s="10"/>
      <c r="B261" s="10"/>
      <c r="C261" s="10"/>
      <c r="D261" s="10"/>
      <c r="E261" s="10"/>
      <c r="F261" s="10"/>
      <c r="G261" s="10"/>
      <c r="H261" s="10"/>
      <c r="I261" s="10"/>
      <c r="J261" s="10"/>
      <c r="K261" s="54" t="s">
        <v>180</v>
      </c>
      <c r="L261" s="4" t="s">
        <v>657</v>
      </c>
      <c r="M261" s="10"/>
      <c r="N261" s="10"/>
      <c r="O261" s="10"/>
      <c r="P261" s="10"/>
      <c r="Q261" s="10"/>
      <c r="R261" s="10"/>
      <c r="S261" s="10"/>
      <c r="T261" s="10"/>
      <c r="U261" s="10"/>
      <c r="V261" s="10"/>
      <c r="W261" s="10"/>
      <c r="X261" s="10"/>
      <c r="Y261" s="10"/>
      <c r="Z261" s="10"/>
      <c r="AA261" s="10"/>
      <c r="AB261" s="42" t="s">
        <v>87</v>
      </c>
      <c r="AC261" s="70" t="s">
        <v>1627</v>
      </c>
      <c r="AD261" s="70"/>
      <c r="AE261" s="53"/>
      <c r="AF261" s="10"/>
      <c r="AG261" s="10"/>
      <c r="AH261" s="10"/>
      <c r="AI261" s="10"/>
      <c r="AJ261" s="10"/>
      <c r="AK261" s="10"/>
      <c r="AL261" s="10"/>
      <c r="AM261" s="10"/>
      <c r="AN261" s="10"/>
      <c r="AO261" s="10"/>
      <c r="AP261" s="10"/>
      <c r="AQ261" s="10"/>
      <c r="AR261" s="10"/>
      <c r="AS261" s="10"/>
    </row>
    <row r="262" spans="1:45" ht="28">
      <c r="A262" s="10"/>
      <c r="B262" s="10"/>
      <c r="C262" s="10"/>
      <c r="D262" s="10"/>
      <c r="E262" s="10"/>
      <c r="F262" s="10"/>
      <c r="G262" s="10"/>
      <c r="H262" s="10"/>
      <c r="I262" s="10"/>
      <c r="J262" s="10"/>
      <c r="K262" s="54" t="s">
        <v>180</v>
      </c>
      <c r="L262" s="4" t="s">
        <v>1623</v>
      </c>
      <c r="M262" s="10"/>
      <c r="N262" s="10"/>
      <c r="O262" s="10"/>
      <c r="P262" s="10"/>
      <c r="Q262" s="10"/>
      <c r="R262" s="10"/>
      <c r="S262" s="10"/>
      <c r="T262" s="10"/>
      <c r="U262" s="10"/>
      <c r="V262" s="10"/>
      <c r="W262" s="10"/>
      <c r="X262" s="10"/>
      <c r="Y262" s="10"/>
      <c r="Z262" s="10"/>
      <c r="AA262" s="10"/>
      <c r="AB262" s="42" t="s">
        <v>91</v>
      </c>
      <c r="AC262" s="70" t="s">
        <v>1627</v>
      </c>
      <c r="AD262" s="70"/>
      <c r="AE262" s="53"/>
      <c r="AF262" s="10"/>
      <c r="AG262" s="10"/>
      <c r="AH262" s="10"/>
      <c r="AI262" s="10"/>
      <c r="AJ262" s="10"/>
      <c r="AK262" s="10"/>
      <c r="AL262" s="10"/>
      <c r="AM262" s="10"/>
      <c r="AN262" s="10"/>
      <c r="AO262" s="10"/>
      <c r="AP262" s="10"/>
      <c r="AQ262" s="10"/>
      <c r="AR262" s="10"/>
      <c r="AS262" s="10"/>
    </row>
    <row r="263" spans="1:45" ht="14">
      <c r="A263" s="10"/>
      <c r="B263" s="10"/>
      <c r="C263" s="10"/>
      <c r="D263" s="10"/>
      <c r="E263" s="10"/>
      <c r="F263" s="10"/>
      <c r="G263" s="10"/>
      <c r="H263" s="10"/>
      <c r="I263" s="10"/>
      <c r="J263" s="10"/>
      <c r="K263" s="54" t="s">
        <v>184</v>
      </c>
      <c r="L263" s="4" t="s">
        <v>1746</v>
      </c>
      <c r="M263" s="10"/>
      <c r="N263" s="10"/>
      <c r="O263" s="10"/>
      <c r="P263" s="10"/>
      <c r="Q263" s="10"/>
      <c r="R263" s="10"/>
      <c r="S263" s="10"/>
      <c r="T263" s="10"/>
      <c r="U263" s="10"/>
      <c r="V263" s="10"/>
      <c r="W263" s="10"/>
      <c r="X263" s="10"/>
      <c r="Y263" s="10"/>
      <c r="Z263" s="10"/>
      <c r="AA263" s="10"/>
      <c r="AB263" s="42" t="s">
        <v>91</v>
      </c>
      <c r="AC263" s="70" t="s">
        <v>1637</v>
      </c>
      <c r="AD263" s="70"/>
      <c r="AE263" s="53"/>
      <c r="AF263" s="10"/>
      <c r="AG263" s="10"/>
      <c r="AH263" s="10"/>
      <c r="AI263" s="10"/>
      <c r="AJ263" s="10"/>
      <c r="AK263" s="10"/>
      <c r="AL263" s="10"/>
      <c r="AM263" s="10"/>
      <c r="AN263" s="10"/>
      <c r="AO263" s="10"/>
      <c r="AP263" s="10"/>
      <c r="AQ263" s="10"/>
      <c r="AR263" s="10"/>
      <c r="AS263" s="10"/>
    </row>
    <row r="264" spans="1:45" ht="14">
      <c r="A264" s="10"/>
      <c r="B264" s="10"/>
      <c r="C264" s="10"/>
      <c r="D264" s="10"/>
      <c r="E264" s="10"/>
      <c r="F264" s="10"/>
      <c r="G264" s="10"/>
      <c r="H264" s="10"/>
      <c r="I264" s="10"/>
      <c r="J264" s="10"/>
      <c r="K264" s="4" t="s">
        <v>184</v>
      </c>
      <c r="L264" s="61" t="s">
        <v>1765</v>
      </c>
      <c r="M264" s="10"/>
      <c r="N264" s="10"/>
      <c r="O264" s="10"/>
      <c r="P264" s="10"/>
      <c r="Q264" s="10"/>
      <c r="R264" s="10"/>
      <c r="S264" s="10"/>
      <c r="T264" s="10"/>
      <c r="U264" s="10"/>
      <c r="V264" s="10"/>
      <c r="W264" s="10"/>
      <c r="X264" s="10"/>
      <c r="Y264" s="10"/>
      <c r="Z264" s="10"/>
      <c r="AA264" s="10"/>
      <c r="AB264" s="42" t="s">
        <v>91</v>
      </c>
      <c r="AC264" s="70" t="s">
        <v>1615</v>
      </c>
      <c r="AD264" s="70"/>
      <c r="AE264" s="53"/>
      <c r="AF264" s="10"/>
      <c r="AG264" s="10"/>
      <c r="AH264" s="10"/>
      <c r="AI264" s="10"/>
      <c r="AJ264" s="10"/>
      <c r="AK264" s="10"/>
      <c r="AL264" s="10"/>
      <c r="AM264" s="10"/>
      <c r="AN264" s="10"/>
      <c r="AO264" s="10"/>
      <c r="AP264" s="10"/>
      <c r="AQ264" s="10"/>
      <c r="AR264" s="10"/>
      <c r="AS264" s="10"/>
    </row>
    <row r="265" spans="1:45" ht="28">
      <c r="A265" s="10"/>
      <c r="B265" s="10"/>
      <c r="C265" s="10"/>
      <c r="D265" s="10"/>
      <c r="E265" s="10"/>
      <c r="F265" s="10"/>
      <c r="G265" s="10"/>
      <c r="H265" s="10"/>
      <c r="I265" s="10"/>
      <c r="J265" s="10"/>
      <c r="K265" s="54" t="s">
        <v>188</v>
      </c>
      <c r="L265" s="4" t="s">
        <v>1631</v>
      </c>
      <c r="M265" s="10"/>
      <c r="N265" s="10"/>
      <c r="O265" s="10"/>
      <c r="P265" s="10"/>
      <c r="Q265" s="10"/>
      <c r="R265" s="10"/>
      <c r="S265" s="10"/>
      <c r="T265" s="10"/>
      <c r="U265" s="10"/>
      <c r="V265" s="10"/>
      <c r="W265" s="10"/>
      <c r="X265" s="10"/>
      <c r="Y265" s="10"/>
      <c r="Z265" s="10"/>
      <c r="AA265" s="10"/>
      <c r="AB265" s="42" t="s">
        <v>91</v>
      </c>
      <c r="AC265" s="70" t="s">
        <v>1643</v>
      </c>
      <c r="AD265" s="70" t="s">
        <v>1766</v>
      </c>
      <c r="AE265" s="53" t="s">
        <v>1677</v>
      </c>
      <c r="AF265" s="10"/>
      <c r="AG265" s="10"/>
      <c r="AH265" s="10"/>
      <c r="AI265" s="10"/>
      <c r="AJ265" s="10"/>
      <c r="AK265" s="10"/>
      <c r="AL265" s="10"/>
      <c r="AM265" s="10"/>
      <c r="AN265" s="10"/>
      <c r="AO265" s="10"/>
      <c r="AP265" s="10"/>
      <c r="AQ265" s="10"/>
      <c r="AR265" s="10"/>
      <c r="AS265" s="10"/>
    </row>
    <row r="266" spans="1:45" ht="28">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42" t="s">
        <v>91</v>
      </c>
      <c r="AC266" s="78" t="s">
        <v>1703</v>
      </c>
      <c r="AD266" s="70" t="s">
        <v>1767</v>
      </c>
      <c r="AE266" s="53"/>
      <c r="AF266" s="10"/>
      <c r="AG266" s="10"/>
      <c r="AH266" s="10"/>
      <c r="AI266" s="10"/>
      <c r="AJ266" s="10"/>
      <c r="AK266" s="10"/>
      <c r="AL266" s="10"/>
      <c r="AM266" s="10"/>
      <c r="AN266" s="10"/>
      <c r="AO266" s="10"/>
      <c r="AP266" s="10"/>
      <c r="AQ266" s="10"/>
      <c r="AR266" s="10"/>
      <c r="AS266" s="10"/>
    </row>
    <row r="267" spans="1:45" ht="28">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42" t="s">
        <v>91</v>
      </c>
      <c r="AC267" s="70" t="s">
        <v>1671</v>
      </c>
      <c r="AD267" s="70" t="s">
        <v>1768</v>
      </c>
      <c r="AE267" s="74" t="s">
        <v>1685</v>
      </c>
      <c r="AF267" s="10"/>
      <c r="AG267" s="10"/>
      <c r="AH267" s="10"/>
      <c r="AI267" s="10"/>
      <c r="AJ267" s="10"/>
      <c r="AK267" s="10"/>
      <c r="AL267" s="10"/>
      <c r="AM267" s="10"/>
      <c r="AN267" s="10"/>
      <c r="AO267" s="10"/>
      <c r="AP267" s="10"/>
      <c r="AQ267" s="10"/>
      <c r="AR267" s="10"/>
      <c r="AS267" s="10"/>
    </row>
    <row r="268" spans="1:45" ht="2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42" t="s">
        <v>91</v>
      </c>
      <c r="AC268" s="70" t="s">
        <v>1634</v>
      </c>
      <c r="AD268" s="70" t="s">
        <v>1769</v>
      </c>
      <c r="AE268" s="53" t="s">
        <v>1689</v>
      </c>
      <c r="AF268" s="10"/>
      <c r="AG268" s="10"/>
      <c r="AH268" s="10"/>
      <c r="AI268" s="10"/>
      <c r="AJ268" s="10"/>
      <c r="AK268" s="10"/>
      <c r="AL268" s="10"/>
      <c r="AM268" s="10"/>
      <c r="AN268" s="10"/>
      <c r="AO268" s="10"/>
      <c r="AP268" s="10"/>
      <c r="AQ268" s="10"/>
      <c r="AR268" s="10"/>
      <c r="AS268" s="10"/>
    </row>
    <row r="269" spans="1:45" ht="1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42" t="s">
        <v>95</v>
      </c>
      <c r="AC269" s="42"/>
      <c r="AD269" s="70"/>
      <c r="AE269" s="53"/>
      <c r="AF269" s="10"/>
      <c r="AG269" s="10"/>
      <c r="AH269" s="10"/>
      <c r="AI269" s="10"/>
      <c r="AJ269" s="10"/>
      <c r="AK269" s="10"/>
      <c r="AL269" s="10"/>
      <c r="AM269" s="10"/>
      <c r="AN269" s="10"/>
      <c r="AO269" s="10"/>
      <c r="AP269" s="10"/>
      <c r="AQ269" s="10"/>
      <c r="AR269" s="10"/>
      <c r="AS269" s="10"/>
    </row>
    <row r="270" spans="1:45" ht="28">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42" t="s">
        <v>95</v>
      </c>
      <c r="AC270" s="70" t="s">
        <v>1627</v>
      </c>
      <c r="AD270" s="70" t="s">
        <v>1770</v>
      </c>
      <c r="AE270" s="53" t="s">
        <v>1705</v>
      </c>
      <c r="AF270" s="10"/>
      <c r="AG270" s="10"/>
      <c r="AH270" s="10"/>
      <c r="AI270" s="10"/>
      <c r="AJ270" s="10"/>
      <c r="AK270" s="10"/>
      <c r="AL270" s="10"/>
      <c r="AM270" s="10"/>
      <c r="AN270" s="10"/>
      <c r="AO270" s="10"/>
      <c r="AP270" s="10"/>
      <c r="AQ270" s="10"/>
      <c r="AR270" s="10"/>
      <c r="AS270" s="10"/>
    </row>
    <row r="271" spans="1:45" ht="28">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42" t="s">
        <v>95</v>
      </c>
      <c r="AC271" s="70" t="s">
        <v>1671</v>
      </c>
      <c r="AD271" s="70" t="s">
        <v>1771</v>
      </c>
      <c r="AE271" s="74" t="s">
        <v>1685</v>
      </c>
      <c r="AF271" s="10"/>
      <c r="AG271" s="10"/>
      <c r="AH271" s="10"/>
      <c r="AI271" s="10"/>
      <c r="AJ271" s="10"/>
      <c r="AK271" s="10"/>
      <c r="AL271" s="10"/>
      <c r="AM271" s="10"/>
      <c r="AN271" s="10"/>
      <c r="AO271" s="10"/>
      <c r="AP271" s="10"/>
      <c r="AQ271" s="10"/>
      <c r="AR271" s="10"/>
      <c r="AS271" s="10"/>
    </row>
    <row r="272" spans="1:45" ht="28">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42" t="s">
        <v>98</v>
      </c>
      <c r="AC272" s="70" t="s">
        <v>1728</v>
      </c>
      <c r="AD272" s="70" t="s">
        <v>1761</v>
      </c>
      <c r="AE272" s="53" t="s">
        <v>1705</v>
      </c>
      <c r="AF272" s="10"/>
      <c r="AG272" s="10"/>
      <c r="AH272" s="10"/>
      <c r="AI272" s="10"/>
      <c r="AJ272" s="10"/>
      <c r="AK272" s="10"/>
      <c r="AL272" s="10"/>
      <c r="AM272" s="10"/>
      <c r="AN272" s="10"/>
      <c r="AO272" s="10"/>
      <c r="AP272" s="10"/>
      <c r="AQ272" s="10"/>
      <c r="AR272" s="10"/>
      <c r="AS272" s="10"/>
    </row>
    <row r="273" spans="1:45" ht="14">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42" t="s">
        <v>98</v>
      </c>
      <c r="AC273" s="42" t="s">
        <v>1637</v>
      </c>
      <c r="AD273" s="70" t="s">
        <v>1772</v>
      </c>
      <c r="AE273" s="53" t="s">
        <v>1677</v>
      </c>
      <c r="AF273" s="10"/>
      <c r="AG273" s="10"/>
      <c r="AH273" s="10"/>
      <c r="AI273" s="10"/>
      <c r="AJ273" s="10"/>
      <c r="AK273" s="10"/>
      <c r="AL273" s="10"/>
      <c r="AM273" s="10"/>
      <c r="AN273" s="10"/>
      <c r="AO273" s="10"/>
      <c r="AP273" s="10"/>
      <c r="AQ273" s="10"/>
      <c r="AR273" s="10"/>
      <c r="AS273" s="10"/>
    </row>
    <row r="274" spans="1:45" ht="1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42" t="s">
        <v>98</v>
      </c>
      <c r="AC274" s="42" t="s">
        <v>1615</v>
      </c>
      <c r="AD274" s="70" t="s">
        <v>1773</v>
      </c>
      <c r="AE274" s="53" t="s">
        <v>1629</v>
      </c>
      <c r="AF274" s="10"/>
      <c r="AG274" s="10"/>
      <c r="AH274" s="10"/>
      <c r="AI274" s="10"/>
      <c r="AJ274" s="10"/>
      <c r="AK274" s="10"/>
      <c r="AL274" s="10"/>
      <c r="AM274" s="10"/>
      <c r="AN274" s="10"/>
      <c r="AO274" s="10"/>
      <c r="AP274" s="10"/>
      <c r="AQ274" s="10"/>
      <c r="AR274" s="10"/>
      <c r="AS274" s="10"/>
    </row>
    <row r="275" spans="1:45" ht="28">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42" t="s">
        <v>98</v>
      </c>
      <c r="AC275" s="70" t="s">
        <v>1643</v>
      </c>
      <c r="AD275" s="70"/>
      <c r="AE275" s="53"/>
      <c r="AF275" s="10"/>
      <c r="AG275" s="10"/>
      <c r="AH275" s="10"/>
      <c r="AI275" s="10"/>
      <c r="AJ275" s="10"/>
      <c r="AK275" s="10"/>
      <c r="AL275" s="10"/>
      <c r="AM275" s="10"/>
      <c r="AN275" s="10"/>
      <c r="AO275" s="10"/>
      <c r="AP275" s="10"/>
      <c r="AQ275" s="10"/>
      <c r="AR275" s="10"/>
      <c r="AS275" s="10"/>
    </row>
    <row r="276" spans="1:45" ht="28">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42" t="s">
        <v>98</v>
      </c>
      <c r="AC276" s="70" t="s">
        <v>1627</v>
      </c>
      <c r="AD276" s="70" t="s">
        <v>1774</v>
      </c>
      <c r="AE276" s="70" t="s">
        <v>1774</v>
      </c>
      <c r="AF276" s="10"/>
      <c r="AG276" s="10"/>
      <c r="AH276" s="10"/>
      <c r="AI276" s="10"/>
      <c r="AJ276" s="10"/>
      <c r="AK276" s="10"/>
      <c r="AL276" s="10"/>
      <c r="AM276" s="10"/>
      <c r="AN276" s="10"/>
      <c r="AO276" s="10"/>
      <c r="AP276" s="10"/>
      <c r="AQ276" s="10"/>
      <c r="AR276" s="10"/>
      <c r="AS276" s="10"/>
    </row>
    <row r="277" spans="1:45" ht="28">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42" t="s">
        <v>102</v>
      </c>
      <c r="AC277" s="70"/>
      <c r="AD277" s="70" t="s">
        <v>1775</v>
      </c>
      <c r="AE277" s="53" t="s">
        <v>1677</v>
      </c>
      <c r="AF277" s="10"/>
      <c r="AG277" s="10"/>
      <c r="AH277" s="10"/>
      <c r="AI277" s="10"/>
      <c r="AJ277" s="10"/>
      <c r="AK277" s="10"/>
      <c r="AL277" s="10"/>
      <c r="AM277" s="10"/>
      <c r="AN277" s="10"/>
      <c r="AO277" s="10"/>
      <c r="AP277" s="10"/>
      <c r="AQ277" s="10"/>
      <c r="AR277" s="10"/>
      <c r="AS277" s="10"/>
    </row>
    <row r="278" spans="1:45" ht="2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42" t="s">
        <v>102</v>
      </c>
      <c r="AC278" s="42" t="s">
        <v>1694</v>
      </c>
      <c r="AD278" s="70" t="s">
        <v>1776</v>
      </c>
      <c r="AE278" s="53" t="s">
        <v>1777</v>
      </c>
      <c r="AF278" s="10"/>
      <c r="AG278" s="10"/>
      <c r="AH278" s="10"/>
      <c r="AI278" s="10"/>
      <c r="AJ278" s="10"/>
      <c r="AK278" s="10"/>
      <c r="AL278" s="10"/>
      <c r="AM278" s="10"/>
      <c r="AN278" s="10"/>
      <c r="AO278" s="10"/>
      <c r="AP278" s="10"/>
      <c r="AQ278" s="10"/>
      <c r="AR278" s="10"/>
      <c r="AS278" s="10"/>
    </row>
    <row r="279" spans="1:45" ht="28">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42" t="s">
        <v>102</v>
      </c>
      <c r="AC279" s="70" t="s">
        <v>1728</v>
      </c>
      <c r="AD279" s="70" t="s">
        <v>1778</v>
      </c>
      <c r="AE279" s="53"/>
      <c r="AF279" s="10"/>
      <c r="AG279" s="10"/>
      <c r="AH279" s="10"/>
      <c r="AI279" s="10"/>
      <c r="AJ279" s="10"/>
      <c r="AK279" s="10"/>
      <c r="AL279" s="10"/>
      <c r="AM279" s="10"/>
      <c r="AN279" s="10"/>
      <c r="AO279" s="10"/>
      <c r="AP279" s="10"/>
      <c r="AQ279" s="10"/>
      <c r="AR279" s="10"/>
      <c r="AS279" s="10"/>
    </row>
    <row r="280" spans="1:45" ht="1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42" t="s">
        <v>102</v>
      </c>
      <c r="AC280" s="42" t="s">
        <v>1627</v>
      </c>
      <c r="AD280" s="70"/>
      <c r="AE280" s="53"/>
      <c r="AF280" s="10"/>
      <c r="AG280" s="10"/>
      <c r="AH280" s="10"/>
      <c r="AI280" s="10"/>
      <c r="AJ280" s="10"/>
      <c r="AK280" s="10"/>
      <c r="AL280" s="10"/>
      <c r="AM280" s="10"/>
      <c r="AN280" s="10"/>
      <c r="AO280" s="10"/>
      <c r="AP280" s="10"/>
      <c r="AQ280" s="10"/>
      <c r="AR280" s="10"/>
      <c r="AS280" s="10"/>
    </row>
    <row r="281" spans="1:45" ht="14">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42" t="s">
        <v>106</v>
      </c>
      <c r="AC281" s="42" t="s">
        <v>521</v>
      </c>
      <c r="AD281" s="70" t="s">
        <v>1047</v>
      </c>
      <c r="AE281" s="53"/>
      <c r="AF281" s="10"/>
      <c r="AG281" s="10"/>
      <c r="AH281" s="10"/>
      <c r="AI281" s="10"/>
      <c r="AJ281" s="10"/>
      <c r="AK281" s="10"/>
      <c r="AL281" s="10"/>
      <c r="AM281" s="10"/>
      <c r="AN281" s="10"/>
      <c r="AO281" s="10"/>
      <c r="AP281" s="10"/>
      <c r="AQ281" s="10"/>
      <c r="AR281" s="10"/>
      <c r="AS281" s="10"/>
    </row>
    <row r="282" spans="1:45" ht="1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42" t="s">
        <v>106</v>
      </c>
      <c r="AC282" s="42" t="s">
        <v>1627</v>
      </c>
      <c r="AD282" s="70"/>
      <c r="AE282" s="53"/>
      <c r="AF282" s="10"/>
      <c r="AG282" s="10"/>
      <c r="AH282" s="10"/>
      <c r="AI282" s="10"/>
      <c r="AJ282" s="10"/>
      <c r="AK282" s="10"/>
      <c r="AL282" s="10"/>
      <c r="AM282" s="10"/>
      <c r="AN282" s="10"/>
      <c r="AO282" s="10"/>
      <c r="AP282" s="10"/>
      <c r="AQ282" s="10"/>
      <c r="AR282" s="10"/>
      <c r="AS282" s="10"/>
    </row>
    <row r="283" spans="1:45" ht="1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42" t="s">
        <v>106</v>
      </c>
      <c r="AC283" s="42" t="s">
        <v>1740</v>
      </c>
      <c r="AD283" s="70"/>
      <c r="AE283" s="53"/>
      <c r="AF283" s="10"/>
      <c r="AG283" s="10"/>
      <c r="AH283" s="10"/>
      <c r="AI283" s="10"/>
      <c r="AJ283" s="10"/>
      <c r="AK283" s="10"/>
      <c r="AL283" s="10"/>
      <c r="AM283" s="10"/>
      <c r="AN283" s="10"/>
      <c r="AO283" s="10"/>
      <c r="AP283" s="10"/>
      <c r="AQ283" s="10"/>
      <c r="AR283" s="10"/>
      <c r="AS283" s="10"/>
    </row>
    <row r="284" spans="1:45" ht="1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42" t="s">
        <v>106</v>
      </c>
      <c r="AC284" s="70" t="s">
        <v>1779</v>
      </c>
      <c r="AD284" s="70"/>
      <c r="AE284" s="53"/>
      <c r="AF284" s="10"/>
      <c r="AG284" s="10"/>
      <c r="AH284" s="10"/>
      <c r="AI284" s="10"/>
      <c r="AJ284" s="10"/>
      <c r="AK284" s="10"/>
      <c r="AL284" s="10"/>
      <c r="AM284" s="10"/>
      <c r="AN284" s="10"/>
      <c r="AO284" s="10"/>
      <c r="AP284" s="10"/>
      <c r="AQ284" s="10"/>
      <c r="AR284" s="10"/>
      <c r="AS284" s="10"/>
    </row>
    <row r="285" spans="1:45" ht="14">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42" t="s">
        <v>110</v>
      </c>
      <c r="AC285" s="77" t="s">
        <v>1728</v>
      </c>
      <c r="AD285" s="70" t="s">
        <v>1780</v>
      </c>
      <c r="AE285" s="53" t="s">
        <v>1734</v>
      </c>
      <c r="AF285" s="10"/>
      <c r="AG285" s="10"/>
      <c r="AH285" s="10"/>
      <c r="AI285" s="10"/>
      <c r="AJ285" s="10"/>
      <c r="AK285" s="10"/>
      <c r="AL285" s="10"/>
      <c r="AM285" s="10"/>
      <c r="AN285" s="10"/>
      <c r="AO285" s="10"/>
      <c r="AP285" s="10"/>
      <c r="AQ285" s="10"/>
      <c r="AR285" s="10"/>
      <c r="AS285" s="10"/>
    </row>
    <row r="286" spans="1:45" ht="28">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42" t="s">
        <v>110</v>
      </c>
      <c r="AC286" s="42" t="s">
        <v>1615</v>
      </c>
      <c r="AD286" s="70" t="s">
        <v>1781</v>
      </c>
      <c r="AE286" s="53" t="s">
        <v>1621</v>
      </c>
      <c r="AF286" s="10"/>
      <c r="AG286" s="10"/>
      <c r="AH286" s="10"/>
      <c r="AI286" s="10"/>
      <c r="AJ286" s="10"/>
      <c r="AK286" s="10"/>
      <c r="AL286" s="10"/>
      <c r="AM286" s="10"/>
      <c r="AN286" s="10"/>
      <c r="AO286" s="10"/>
      <c r="AP286" s="10"/>
      <c r="AQ286" s="10"/>
      <c r="AR286" s="10"/>
      <c r="AS286" s="10"/>
    </row>
    <row r="287" spans="1:45" ht="1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42" t="s">
        <v>110</v>
      </c>
      <c r="AC287" s="42" t="s">
        <v>1637</v>
      </c>
      <c r="AD287" s="70"/>
      <c r="AE287" s="53"/>
      <c r="AF287" s="10"/>
      <c r="AG287" s="10"/>
      <c r="AH287" s="10"/>
      <c r="AI287" s="10"/>
      <c r="AJ287" s="10"/>
      <c r="AK287" s="10"/>
      <c r="AL287" s="10"/>
      <c r="AM287" s="10"/>
      <c r="AN287" s="10"/>
      <c r="AO287" s="10"/>
      <c r="AP287" s="10"/>
      <c r="AQ287" s="10"/>
      <c r="AR287" s="10"/>
      <c r="AS287" s="10"/>
    </row>
    <row r="288" spans="1:45" ht="2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42" t="s">
        <v>110</v>
      </c>
      <c r="AC288" s="70" t="s">
        <v>1782</v>
      </c>
      <c r="AD288" s="70"/>
      <c r="AE288" s="53"/>
      <c r="AF288" s="10"/>
      <c r="AG288" s="10"/>
      <c r="AH288" s="10"/>
      <c r="AI288" s="10"/>
      <c r="AJ288" s="10"/>
      <c r="AK288" s="10"/>
      <c r="AL288" s="10"/>
      <c r="AM288" s="10"/>
      <c r="AN288" s="10"/>
      <c r="AO288" s="10"/>
      <c r="AP288" s="10"/>
      <c r="AQ288" s="10"/>
      <c r="AR288" s="10"/>
      <c r="AS288" s="10"/>
    </row>
    <row r="289" spans="1:45" ht="1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42" t="s">
        <v>110</v>
      </c>
      <c r="AC289" s="77" t="s">
        <v>1779</v>
      </c>
      <c r="AD289" s="70"/>
      <c r="AE289" s="53"/>
      <c r="AF289" s="10"/>
      <c r="AG289" s="10"/>
      <c r="AH289" s="10"/>
      <c r="AI289" s="10"/>
      <c r="AJ289" s="10"/>
      <c r="AK289" s="10"/>
      <c r="AL289" s="10"/>
      <c r="AM289" s="10"/>
      <c r="AN289" s="10"/>
      <c r="AO289" s="10"/>
      <c r="AP289" s="10"/>
      <c r="AQ289" s="10"/>
      <c r="AR289" s="10"/>
      <c r="AS289" s="10"/>
    </row>
    <row r="290" spans="1:45" ht="14">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42" t="s">
        <v>114</v>
      </c>
      <c r="AC290" s="42" t="s">
        <v>1783</v>
      </c>
      <c r="AD290" s="70" t="s">
        <v>1784</v>
      </c>
      <c r="AE290" s="53" t="s">
        <v>1753</v>
      </c>
      <c r="AF290" s="10"/>
      <c r="AG290" s="10"/>
      <c r="AH290" s="10"/>
      <c r="AI290" s="10"/>
      <c r="AJ290" s="10"/>
      <c r="AK290" s="10"/>
      <c r="AL290" s="10"/>
      <c r="AM290" s="10"/>
      <c r="AN290" s="10"/>
      <c r="AO290" s="10"/>
      <c r="AP290" s="10"/>
      <c r="AQ290" s="10"/>
      <c r="AR290" s="10"/>
      <c r="AS290" s="10"/>
    </row>
    <row r="291" spans="1:45" ht="14">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42" t="s">
        <v>114</v>
      </c>
      <c r="AC291" s="70" t="s">
        <v>1779</v>
      </c>
      <c r="AD291" s="70" t="s">
        <v>1785</v>
      </c>
      <c r="AE291" s="53" t="s">
        <v>1677</v>
      </c>
      <c r="AF291" s="10"/>
      <c r="AG291" s="10"/>
      <c r="AH291" s="10"/>
      <c r="AI291" s="10"/>
      <c r="AJ291" s="10"/>
      <c r="AK291" s="10"/>
      <c r="AL291" s="10"/>
      <c r="AM291" s="10"/>
      <c r="AN291" s="10"/>
      <c r="AO291" s="10"/>
      <c r="AP291" s="10"/>
      <c r="AQ291" s="10"/>
      <c r="AR291" s="10"/>
      <c r="AS291" s="10"/>
    </row>
    <row r="292" spans="1:45" ht="1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42" t="s">
        <v>114</v>
      </c>
      <c r="AC292" s="42" t="s">
        <v>1627</v>
      </c>
      <c r="AD292" s="70"/>
      <c r="AE292" s="53"/>
      <c r="AF292" s="10"/>
      <c r="AG292" s="10"/>
      <c r="AH292" s="10"/>
      <c r="AI292" s="10"/>
      <c r="AJ292" s="10"/>
      <c r="AK292" s="10"/>
      <c r="AL292" s="10"/>
      <c r="AM292" s="10"/>
      <c r="AN292" s="10"/>
      <c r="AO292" s="10"/>
      <c r="AP292" s="10"/>
      <c r="AQ292" s="10"/>
      <c r="AR292" s="10"/>
      <c r="AS292" s="10"/>
    </row>
    <row r="293" spans="1:45" ht="1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42" t="s">
        <v>114</v>
      </c>
      <c r="AC293" s="42" t="s">
        <v>1615</v>
      </c>
      <c r="AD293" s="70"/>
      <c r="AE293" s="53"/>
      <c r="AF293" s="10"/>
      <c r="AG293" s="10"/>
      <c r="AH293" s="10"/>
      <c r="AI293" s="10"/>
      <c r="AJ293" s="10"/>
      <c r="AK293" s="10"/>
      <c r="AL293" s="10"/>
      <c r="AM293" s="10"/>
      <c r="AN293" s="10"/>
      <c r="AO293" s="10"/>
      <c r="AP293" s="10"/>
      <c r="AQ293" s="10"/>
      <c r="AR293" s="10"/>
      <c r="AS293" s="10"/>
    </row>
    <row r="294" spans="1:45" ht="1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42" t="s">
        <v>114</v>
      </c>
      <c r="AC294" s="42" t="s">
        <v>1637</v>
      </c>
      <c r="AD294" s="70"/>
      <c r="AE294" s="53"/>
      <c r="AF294" s="10"/>
      <c r="AG294" s="10"/>
      <c r="AH294" s="10"/>
      <c r="AI294" s="10"/>
      <c r="AJ294" s="10"/>
      <c r="AK294" s="10"/>
      <c r="AL294" s="10"/>
      <c r="AM294" s="10"/>
      <c r="AN294" s="10"/>
      <c r="AO294" s="10"/>
      <c r="AP294" s="10"/>
      <c r="AQ294" s="10"/>
      <c r="AR294" s="10"/>
      <c r="AS294" s="10"/>
    </row>
    <row r="295" spans="1:45" ht="1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42" t="s">
        <v>114</v>
      </c>
      <c r="AC295" s="42" t="s">
        <v>1694</v>
      </c>
      <c r="AD295" s="70"/>
      <c r="AE295" s="53"/>
      <c r="AF295" s="10"/>
      <c r="AG295" s="10"/>
      <c r="AH295" s="10"/>
      <c r="AI295" s="10"/>
      <c r="AJ295" s="10"/>
      <c r="AK295" s="10"/>
      <c r="AL295" s="10"/>
      <c r="AM295" s="10"/>
      <c r="AN295" s="10"/>
      <c r="AO295" s="10"/>
      <c r="AP295" s="10"/>
      <c r="AQ295" s="10"/>
      <c r="AR295" s="10"/>
      <c r="AS295" s="10"/>
    </row>
    <row r="296" spans="1:45" ht="1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42" t="s">
        <v>119</v>
      </c>
      <c r="AC296" s="42" t="s">
        <v>1683</v>
      </c>
      <c r="AD296" s="70"/>
      <c r="AE296" s="53"/>
      <c r="AF296" s="10"/>
      <c r="AG296" s="10"/>
      <c r="AH296" s="10"/>
      <c r="AI296" s="10"/>
      <c r="AJ296" s="10"/>
      <c r="AK296" s="10"/>
      <c r="AL296" s="10"/>
      <c r="AM296" s="10"/>
      <c r="AN296" s="10"/>
      <c r="AO296" s="10"/>
      <c r="AP296" s="10"/>
      <c r="AQ296" s="10"/>
      <c r="AR296" s="10"/>
      <c r="AS296" s="10"/>
    </row>
    <row r="297" spans="1:45" ht="14">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42" t="s">
        <v>119</v>
      </c>
      <c r="AC297" s="42" t="s">
        <v>1779</v>
      </c>
      <c r="AD297" s="70" t="s">
        <v>1047</v>
      </c>
      <c r="AE297" s="53"/>
      <c r="AF297" s="10"/>
      <c r="AG297" s="10"/>
      <c r="AH297" s="10"/>
      <c r="AI297" s="10"/>
      <c r="AJ297" s="10"/>
      <c r="AK297" s="10"/>
      <c r="AL297" s="10"/>
      <c r="AM297" s="10"/>
      <c r="AN297" s="10"/>
      <c r="AO297" s="10"/>
      <c r="AP297" s="10"/>
      <c r="AQ297" s="10"/>
      <c r="AR297" s="10"/>
      <c r="AS297" s="10"/>
    </row>
    <row r="298" spans="1:45" ht="1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42" t="s">
        <v>119</v>
      </c>
      <c r="AC298" s="42" t="s">
        <v>1627</v>
      </c>
      <c r="AD298" s="70"/>
      <c r="AE298" s="53"/>
      <c r="AF298" s="10"/>
      <c r="AG298" s="10"/>
      <c r="AH298" s="10"/>
      <c r="AI298" s="10"/>
      <c r="AJ298" s="10"/>
      <c r="AK298" s="10"/>
      <c r="AL298" s="10"/>
      <c r="AM298" s="10"/>
      <c r="AN298" s="10"/>
      <c r="AO298" s="10"/>
      <c r="AP298" s="10"/>
      <c r="AQ298" s="10"/>
      <c r="AR298" s="10"/>
      <c r="AS298" s="10"/>
    </row>
    <row r="299" spans="1:45" ht="14">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42" t="s">
        <v>124</v>
      </c>
      <c r="AC299" s="42" t="s">
        <v>1637</v>
      </c>
      <c r="AD299" s="70" t="s">
        <v>1784</v>
      </c>
      <c r="AE299" s="53" t="s">
        <v>1753</v>
      </c>
      <c r="AF299" s="10"/>
      <c r="AG299" s="10"/>
      <c r="AH299" s="10"/>
      <c r="AI299" s="10"/>
      <c r="AJ299" s="10"/>
      <c r="AK299" s="10"/>
      <c r="AL299" s="10"/>
      <c r="AM299" s="10"/>
      <c r="AN299" s="10"/>
      <c r="AO299" s="10"/>
      <c r="AP299" s="10"/>
      <c r="AQ299" s="10"/>
      <c r="AR299" s="10"/>
      <c r="AS299" s="10"/>
    </row>
    <row r="300" spans="1:45" ht="14">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42" t="s">
        <v>124</v>
      </c>
      <c r="AC300" s="42" t="s">
        <v>1627</v>
      </c>
      <c r="AD300" s="70" t="s">
        <v>1786</v>
      </c>
      <c r="AE300" s="74" t="s">
        <v>1685</v>
      </c>
      <c r="AF300" s="10"/>
      <c r="AG300" s="10"/>
      <c r="AH300" s="10"/>
      <c r="AI300" s="10"/>
      <c r="AJ300" s="10"/>
      <c r="AK300" s="10"/>
      <c r="AL300" s="10"/>
      <c r="AM300" s="10"/>
      <c r="AN300" s="10"/>
      <c r="AO300" s="10"/>
      <c r="AP300" s="10"/>
      <c r="AQ300" s="10"/>
      <c r="AR300" s="10"/>
      <c r="AS300" s="10"/>
    </row>
    <row r="301" spans="1:45" ht="1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42" t="s">
        <v>124</v>
      </c>
      <c r="AC301" s="42" t="s">
        <v>1694</v>
      </c>
      <c r="AD301" s="70"/>
      <c r="AE301" s="53"/>
      <c r="AF301" s="10"/>
      <c r="AG301" s="10"/>
      <c r="AH301" s="10"/>
      <c r="AI301" s="10"/>
      <c r="AJ301" s="10"/>
      <c r="AK301" s="10"/>
      <c r="AL301" s="10"/>
      <c r="AM301" s="10"/>
      <c r="AN301" s="10"/>
      <c r="AO301" s="10"/>
      <c r="AP301" s="10"/>
      <c r="AQ301" s="10"/>
      <c r="AR301" s="10"/>
      <c r="AS301" s="10"/>
    </row>
    <row r="302" spans="1:45" ht="1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42" t="s">
        <v>124</v>
      </c>
      <c r="AC302" s="42" t="s">
        <v>1671</v>
      </c>
      <c r="AD302" s="70"/>
      <c r="AE302" s="53"/>
      <c r="AF302" s="10"/>
      <c r="AG302" s="10"/>
      <c r="AH302" s="10"/>
      <c r="AI302" s="10"/>
      <c r="AJ302" s="10"/>
      <c r="AK302" s="10"/>
      <c r="AL302" s="10"/>
      <c r="AM302" s="10"/>
      <c r="AN302" s="10"/>
      <c r="AO302" s="10"/>
      <c r="AP302" s="10"/>
      <c r="AQ302" s="10"/>
      <c r="AR302" s="10"/>
      <c r="AS302" s="10"/>
    </row>
    <row r="303" spans="1:45" ht="14">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42" t="s">
        <v>129</v>
      </c>
      <c r="AC303" s="42" t="s">
        <v>1615</v>
      </c>
      <c r="AD303" s="70" t="s">
        <v>1787</v>
      </c>
      <c r="AE303" s="53" t="s">
        <v>1788</v>
      </c>
      <c r="AF303" s="10"/>
      <c r="AG303" s="10"/>
      <c r="AH303" s="10"/>
      <c r="AI303" s="10"/>
      <c r="AJ303" s="10"/>
      <c r="AK303" s="10"/>
      <c r="AL303" s="10"/>
      <c r="AM303" s="10"/>
      <c r="AN303" s="10"/>
      <c r="AO303" s="10"/>
      <c r="AP303" s="10"/>
      <c r="AQ303" s="10"/>
      <c r="AR303" s="10"/>
      <c r="AS303" s="10"/>
    </row>
    <row r="304" spans="1:45" ht="1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42" t="s">
        <v>129</v>
      </c>
      <c r="AC304" s="42" t="s">
        <v>1779</v>
      </c>
      <c r="AD304" s="70"/>
      <c r="AE304" s="53"/>
      <c r="AF304" s="10"/>
      <c r="AG304" s="10"/>
      <c r="AH304" s="10"/>
      <c r="AI304" s="10"/>
      <c r="AJ304" s="10"/>
      <c r="AK304" s="10"/>
      <c r="AL304" s="10"/>
      <c r="AM304" s="10"/>
      <c r="AN304" s="10"/>
      <c r="AO304" s="10"/>
      <c r="AP304" s="10"/>
      <c r="AQ304" s="10"/>
      <c r="AR304" s="10"/>
      <c r="AS304" s="10"/>
    </row>
    <row r="305" spans="1:45" ht="1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42" t="s">
        <v>132</v>
      </c>
      <c r="AC305" s="42" t="s">
        <v>457</v>
      </c>
      <c r="AD305" s="70"/>
      <c r="AE305" s="53"/>
      <c r="AF305" s="10"/>
      <c r="AG305" s="10"/>
      <c r="AH305" s="10"/>
      <c r="AI305" s="10"/>
      <c r="AJ305" s="10"/>
      <c r="AK305" s="10"/>
      <c r="AL305" s="10"/>
      <c r="AM305" s="10"/>
      <c r="AN305" s="10"/>
      <c r="AO305" s="10"/>
      <c r="AP305" s="10"/>
      <c r="AQ305" s="10"/>
      <c r="AR305" s="10"/>
      <c r="AS305" s="10"/>
    </row>
    <row r="306" spans="1:45" ht="1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42" t="s">
        <v>132</v>
      </c>
      <c r="AC306" s="42" t="s">
        <v>1615</v>
      </c>
      <c r="AD306" s="70"/>
      <c r="AE306" s="53"/>
      <c r="AF306" s="10"/>
      <c r="AG306" s="10"/>
      <c r="AH306" s="10"/>
      <c r="AI306" s="10"/>
      <c r="AJ306" s="10"/>
      <c r="AK306" s="10"/>
      <c r="AL306" s="10"/>
      <c r="AM306" s="10"/>
      <c r="AN306" s="10"/>
      <c r="AO306" s="10"/>
      <c r="AP306" s="10"/>
      <c r="AQ306" s="10"/>
      <c r="AR306" s="10"/>
      <c r="AS306" s="10"/>
    </row>
    <row r="307" spans="1:45" ht="28">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42" t="s">
        <v>132</v>
      </c>
      <c r="AC307" s="42" t="s">
        <v>1634</v>
      </c>
      <c r="AD307" s="70" t="s">
        <v>1789</v>
      </c>
      <c r="AE307" s="53" t="s">
        <v>1621</v>
      </c>
      <c r="AF307" s="10"/>
      <c r="AG307" s="10"/>
      <c r="AH307" s="10"/>
      <c r="AI307" s="10"/>
      <c r="AJ307" s="10"/>
      <c r="AK307" s="10"/>
      <c r="AL307" s="10"/>
      <c r="AM307" s="10"/>
      <c r="AN307" s="10"/>
      <c r="AO307" s="10"/>
      <c r="AP307" s="10"/>
      <c r="AQ307" s="10"/>
      <c r="AR307" s="10"/>
      <c r="AS307" s="10"/>
    </row>
    <row r="308" spans="1:45" ht="14">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42" t="s">
        <v>132</v>
      </c>
      <c r="AC308" s="42" t="s">
        <v>1748</v>
      </c>
      <c r="AD308" s="70" t="s">
        <v>1790</v>
      </c>
      <c r="AE308" s="53" t="s">
        <v>1790</v>
      </c>
      <c r="AF308" s="10"/>
      <c r="AG308" s="10"/>
      <c r="AH308" s="10"/>
      <c r="AI308" s="10"/>
      <c r="AJ308" s="10"/>
      <c r="AK308" s="10"/>
      <c r="AL308" s="10"/>
      <c r="AM308" s="10"/>
      <c r="AN308" s="10"/>
      <c r="AO308" s="10"/>
      <c r="AP308" s="10"/>
      <c r="AQ308" s="10"/>
      <c r="AR308" s="10"/>
      <c r="AS308" s="10"/>
    </row>
    <row r="309" spans="1:45" ht="14">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42" t="s">
        <v>132</v>
      </c>
      <c r="AC309" s="42" t="s">
        <v>1791</v>
      </c>
      <c r="AD309" s="70" t="s">
        <v>1774</v>
      </c>
      <c r="AE309" s="75" t="s">
        <v>1774</v>
      </c>
      <c r="AF309" s="10"/>
      <c r="AG309" s="10"/>
      <c r="AH309" s="10"/>
      <c r="AI309" s="10"/>
      <c r="AJ309" s="10"/>
      <c r="AK309" s="10"/>
      <c r="AL309" s="10"/>
      <c r="AM309" s="10"/>
      <c r="AN309" s="10"/>
      <c r="AO309" s="10"/>
      <c r="AP309" s="10"/>
      <c r="AQ309" s="10"/>
      <c r="AR309" s="10"/>
      <c r="AS309" s="10"/>
    </row>
    <row r="310" spans="1:45" ht="14">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42" t="s">
        <v>136</v>
      </c>
      <c r="AC310" s="42"/>
      <c r="AD310" s="70" t="s">
        <v>1792</v>
      </c>
      <c r="AE310" s="53" t="s">
        <v>1640</v>
      </c>
      <c r="AF310" s="10"/>
      <c r="AG310" s="10"/>
      <c r="AH310" s="10"/>
      <c r="AI310" s="10"/>
      <c r="AJ310" s="10"/>
      <c r="AK310" s="10"/>
      <c r="AL310" s="10"/>
      <c r="AM310" s="10"/>
      <c r="AN310" s="10"/>
      <c r="AO310" s="10"/>
      <c r="AP310" s="10"/>
      <c r="AQ310" s="10"/>
      <c r="AR310" s="10"/>
      <c r="AS310" s="10"/>
    </row>
    <row r="311" spans="1:45" ht="14">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42" t="s">
        <v>136</v>
      </c>
      <c r="AC311" s="42"/>
      <c r="AD311" s="70" t="s">
        <v>1786</v>
      </c>
      <c r="AE311" s="74" t="s">
        <v>1685</v>
      </c>
      <c r="AF311" s="10"/>
      <c r="AG311" s="10"/>
      <c r="AH311" s="10"/>
      <c r="AI311" s="10"/>
      <c r="AJ311" s="10"/>
      <c r="AK311" s="10"/>
      <c r="AL311" s="10"/>
      <c r="AM311" s="10"/>
      <c r="AN311" s="10"/>
      <c r="AO311" s="10"/>
      <c r="AP311" s="10"/>
      <c r="AQ311" s="10"/>
      <c r="AR311" s="10"/>
      <c r="AS311" s="10"/>
    </row>
    <row r="312" spans="1:45" ht="28">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42" t="s">
        <v>140</v>
      </c>
      <c r="AC312" s="70" t="s">
        <v>1671</v>
      </c>
      <c r="AD312" s="70" t="s">
        <v>1793</v>
      </c>
      <c r="AE312" s="53" t="s">
        <v>1677</v>
      </c>
      <c r="AF312" s="10"/>
      <c r="AG312" s="10"/>
      <c r="AH312" s="10"/>
      <c r="AI312" s="10"/>
      <c r="AJ312" s="10"/>
      <c r="AK312" s="10"/>
      <c r="AL312" s="10"/>
      <c r="AM312" s="10"/>
      <c r="AN312" s="10"/>
      <c r="AO312" s="10"/>
      <c r="AP312" s="10"/>
      <c r="AQ312" s="10"/>
      <c r="AR312" s="10"/>
      <c r="AS312" s="10"/>
    </row>
    <row r="313" spans="1:45" ht="28">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42" t="s">
        <v>140</v>
      </c>
      <c r="AC313" s="70" t="s">
        <v>1748</v>
      </c>
      <c r="AD313" s="70" t="s">
        <v>1786</v>
      </c>
      <c r="AE313" s="74" t="s">
        <v>1685</v>
      </c>
      <c r="AF313" s="10"/>
      <c r="AG313" s="10"/>
      <c r="AH313" s="10"/>
      <c r="AI313" s="10"/>
      <c r="AJ313" s="10"/>
      <c r="AK313" s="10"/>
      <c r="AL313" s="10"/>
      <c r="AM313" s="10"/>
      <c r="AN313" s="10"/>
      <c r="AO313" s="10"/>
      <c r="AP313" s="10"/>
      <c r="AQ313" s="10"/>
      <c r="AR313" s="10"/>
      <c r="AS313" s="10"/>
    </row>
    <row r="314" spans="1:45" ht="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42" t="s">
        <v>140</v>
      </c>
      <c r="AC314" s="42" t="s">
        <v>1615</v>
      </c>
      <c r="AD314" s="70" t="s">
        <v>1794</v>
      </c>
      <c r="AE314" s="53"/>
      <c r="AF314" s="10"/>
      <c r="AG314" s="10"/>
      <c r="AH314" s="10"/>
      <c r="AI314" s="10"/>
      <c r="AJ314" s="10"/>
      <c r="AK314" s="10"/>
      <c r="AL314" s="10"/>
      <c r="AM314" s="10"/>
      <c r="AN314" s="10"/>
      <c r="AO314" s="10"/>
      <c r="AP314" s="10"/>
      <c r="AQ314" s="10"/>
      <c r="AR314" s="10"/>
      <c r="AS314" s="10"/>
    </row>
    <row r="315" spans="1:45" ht="28">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42" t="s">
        <v>140</v>
      </c>
      <c r="AC315" s="42" t="s">
        <v>1637</v>
      </c>
      <c r="AD315" s="70" t="s">
        <v>1795</v>
      </c>
      <c r="AE315" s="53"/>
      <c r="AF315" s="10"/>
      <c r="AG315" s="10"/>
      <c r="AH315" s="10"/>
      <c r="AI315" s="10"/>
      <c r="AJ315" s="10"/>
      <c r="AK315" s="10"/>
      <c r="AL315" s="10"/>
      <c r="AM315" s="10"/>
      <c r="AN315" s="10"/>
      <c r="AO315" s="10"/>
      <c r="AP315" s="10"/>
      <c r="AQ315" s="10"/>
      <c r="AR315" s="10"/>
      <c r="AS315" s="10"/>
    </row>
    <row r="316" spans="1:45" ht="28">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42" t="s">
        <v>140</v>
      </c>
      <c r="AC316" s="70" t="s">
        <v>1703</v>
      </c>
      <c r="AD316" s="47"/>
      <c r="AE316" s="53"/>
      <c r="AF316" s="10"/>
      <c r="AG316" s="10"/>
      <c r="AH316" s="10"/>
      <c r="AI316" s="10"/>
      <c r="AJ316" s="10"/>
      <c r="AK316" s="10"/>
      <c r="AL316" s="10"/>
      <c r="AM316" s="10"/>
      <c r="AN316" s="10"/>
      <c r="AO316" s="10"/>
      <c r="AP316" s="10"/>
      <c r="AQ316" s="10"/>
      <c r="AR316" s="10"/>
      <c r="AS316" s="10"/>
    </row>
    <row r="317" spans="1:45" ht="28">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42" t="s">
        <v>144</v>
      </c>
      <c r="AC317" s="70" t="s">
        <v>1643</v>
      </c>
      <c r="AD317" s="70" t="s">
        <v>1796</v>
      </c>
      <c r="AE317" s="53" t="s">
        <v>1621</v>
      </c>
      <c r="AF317" s="10"/>
      <c r="AG317" s="10"/>
      <c r="AH317" s="10"/>
      <c r="AI317" s="10"/>
      <c r="AJ317" s="10"/>
      <c r="AK317" s="10"/>
      <c r="AL317" s="10"/>
      <c r="AM317" s="10"/>
      <c r="AN317" s="10"/>
      <c r="AO317" s="10"/>
      <c r="AP317" s="10"/>
      <c r="AQ317" s="10"/>
      <c r="AR317" s="10"/>
      <c r="AS317" s="10"/>
    </row>
    <row r="318" spans="1:45" ht="2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42" t="s">
        <v>144</v>
      </c>
      <c r="AC318" s="70" t="s">
        <v>1728</v>
      </c>
      <c r="AD318" s="70" t="s">
        <v>1797</v>
      </c>
      <c r="AE318" s="53" t="s">
        <v>1677</v>
      </c>
      <c r="AF318" s="10"/>
      <c r="AG318" s="10"/>
      <c r="AH318" s="10"/>
      <c r="AI318" s="10"/>
      <c r="AJ318" s="10"/>
      <c r="AK318" s="10"/>
      <c r="AL318" s="10"/>
      <c r="AM318" s="10"/>
      <c r="AN318" s="10"/>
      <c r="AO318" s="10"/>
      <c r="AP318" s="10"/>
      <c r="AQ318" s="10"/>
      <c r="AR318" s="10"/>
      <c r="AS318" s="10"/>
    </row>
    <row r="319" spans="1:45" ht="14">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42" t="s">
        <v>144</v>
      </c>
      <c r="AC319" s="42" t="s">
        <v>1798</v>
      </c>
      <c r="AD319" s="70" t="s">
        <v>1799</v>
      </c>
      <c r="AE319" s="53" t="s">
        <v>1629</v>
      </c>
      <c r="AF319" s="10"/>
      <c r="AG319" s="10"/>
      <c r="AH319" s="10"/>
      <c r="AI319" s="10"/>
      <c r="AJ319" s="10"/>
      <c r="AK319" s="10"/>
      <c r="AL319" s="10"/>
      <c r="AM319" s="10"/>
      <c r="AN319" s="10"/>
      <c r="AO319" s="10"/>
      <c r="AP319" s="10"/>
      <c r="AQ319" s="10"/>
      <c r="AR319" s="10"/>
      <c r="AS319" s="10"/>
    </row>
    <row r="320" spans="1:45" ht="1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42" t="s">
        <v>147</v>
      </c>
      <c r="AC320" s="42" t="s">
        <v>1779</v>
      </c>
      <c r="AD320" s="47"/>
      <c r="AE320" s="53"/>
      <c r="AF320" s="10"/>
      <c r="AG320" s="10"/>
      <c r="AH320" s="10"/>
      <c r="AI320" s="10"/>
      <c r="AJ320" s="10"/>
      <c r="AK320" s="10"/>
      <c r="AL320" s="10"/>
      <c r="AM320" s="10"/>
      <c r="AN320" s="10"/>
      <c r="AO320" s="10"/>
      <c r="AP320" s="10"/>
      <c r="AQ320" s="10"/>
      <c r="AR320" s="10"/>
      <c r="AS320" s="10"/>
    </row>
    <row r="321" spans="1:45" ht="1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42" t="s">
        <v>147</v>
      </c>
      <c r="AC321" s="42" t="s">
        <v>1683</v>
      </c>
      <c r="AD321" s="47"/>
      <c r="AE321" s="53"/>
      <c r="AF321" s="10"/>
      <c r="AG321" s="10"/>
      <c r="AH321" s="10"/>
      <c r="AI321" s="10"/>
      <c r="AJ321" s="10"/>
      <c r="AK321" s="10"/>
      <c r="AL321" s="10"/>
      <c r="AM321" s="10"/>
      <c r="AN321" s="10"/>
      <c r="AO321" s="10"/>
      <c r="AP321" s="10"/>
      <c r="AQ321" s="10"/>
      <c r="AR321" s="10"/>
      <c r="AS321" s="10"/>
    </row>
    <row r="322" spans="1:45" ht="1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42" t="s">
        <v>147</v>
      </c>
      <c r="AC322" s="42" t="s">
        <v>1615</v>
      </c>
      <c r="AD322" s="47"/>
      <c r="AE322" s="53"/>
      <c r="AF322" s="10"/>
      <c r="AG322" s="10"/>
      <c r="AH322" s="10"/>
      <c r="AI322" s="10"/>
      <c r="AJ322" s="10"/>
      <c r="AK322" s="10"/>
      <c r="AL322" s="10"/>
      <c r="AM322" s="10"/>
      <c r="AN322" s="10"/>
      <c r="AO322" s="10"/>
      <c r="AP322" s="10"/>
      <c r="AQ322" s="10"/>
      <c r="AR322" s="10"/>
      <c r="AS322" s="10"/>
    </row>
    <row r="323" spans="1:45" ht="14">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42" t="s">
        <v>147</v>
      </c>
      <c r="AC323" s="42" t="s">
        <v>1637</v>
      </c>
      <c r="AD323" s="70" t="s">
        <v>1800</v>
      </c>
      <c r="AE323" s="53" t="s">
        <v>1677</v>
      </c>
      <c r="AF323" s="10"/>
      <c r="AG323" s="10"/>
      <c r="AH323" s="10"/>
      <c r="AI323" s="10"/>
      <c r="AJ323" s="10"/>
      <c r="AK323" s="10"/>
      <c r="AL323" s="10"/>
      <c r="AM323" s="10"/>
      <c r="AN323" s="10"/>
      <c r="AO323" s="10"/>
      <c r="AP323" s="10"/>
      <c r="AQ323" s="10"/>
      <c r="AR323" s="10"/>
      <c r="AS323" s="10"/>
    </row>
    <row r="324" spans="1:45" ht="28">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42" t="s">
        <v>147</v>
      </c>
      <c r="AC324" s="70" t="s">
        <v>1671</v>
      </c>
      <c r="AD324" s="70" t="s">
        <v>1801</v>
      </c>
      <c r="AE324" s="53"/>
      <c r="AF324" s="10"/>
      <c r="AG324" s="10"/>
      <c r="AH324" s="10"/>
      <c r="AI324" s="10"/>
      <c r="AJ324" s="10"/>
      <c r="AK324" s="10"/>
      <c r="AL324" s="10"/>
      <c r="AM324" s="10"/>
      <c r="AN324" s="10"/>
      <c r="AO324" s="10"/>
      <c r="AP324" s="10"/>
      <c r="AQ324" s="10"/>
      <c r="AR324" s="10"/>
      <c r="AS324" s="10"/>
    </row>
    <row r="325" spans="1:45" ht="14">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42" t="s">
        <v>147</v>
      </c>
      <c r="AC325" s="42" t="s">
        <v>1802</v>
      </c>
      <c r="AD325" s="70" t="s">
        <v>1803</v>
      </c>
      <c r="AE325" s="53" t="s">
        <v>1689</v>
      </c>
      <c r="AF325" s="10"/>
      <c r="AG325" s="10"/>
      <c r="AH325" s="10"/>
      <c r="AI325" s="10"/>
      <c r="AJ325" s="10"/>
      <c r="AK325" s="10"/>
      <c r="AL325" s="10"/>
      <c r="AM325" s="10"/>
      <c r="AN325" s="10"/>
      <c r="AO325" s="10"/>
      <c r="AP325" s="10"/>
      <c r="AQ325" s="10"/>
      <c r="AR325" s="10"/>
      <c r="AS325" s="10"/>
    </row>
    <row r="326" spans="1:45" ht="14">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42" t="s">
        <v>147</v>
      </c>
      <c r="AC326" s="42" t="s">
        <v>1740</v>
      </c>
      <c r="AD326" s="70" t="s">
        <v>1804</v>
      </c>
      <c r="AE326" s="53" t="s">
        <v>1645</v>
      </c>
      <c r="AF326" s="10"/>
      <c r="AG326" s="10"/>
      <c r="AH326" s="10"/>
      <c r="AI326" s="10"/>
      <c r="AJ326" s="10"/>
      <c r="AK326" s="10"/>
      <c r="AL326" s="10"/>
      <c r="AM326" s="10"/>
      <c r="AN326" s="10"/>
      <c r="AO326" s="10"/>
      <c r="AP326" s="10"/>
      <c r="AQ326" s="10"/>
      <c r="AR326" s="10"/>
      <c r="AS326" s="10"/>
    </row>
    <row r="327" spans="1:45" ht="28">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42" t="s">
        <v>151</v>
      </c>
      <c r="AC327" s="42" t="s">
        <v>1683</v>
      </c>
      <c r="AD327" s="70" t="s">
        <v>1805</v>
      </c>
      <c r="AE327" s="74" t="s">
        <v>1685</v>
      </c>
      <c r="AF327" s="10"/>
      <c r="AG327" s="10"/>
      <c r="AH327" s="10"/>
      <c r="AI327" s="10"/>
      <c r="AJ327" s="10"/>
      <c r="AK327" s="10"/>
      <c r="AL327" s="10"/>
      <c r="AM327" s="10"/>
      <c r="AN327" s="10"/>
      <c r="AO327" s="10"/>
      <c r="AP327" s="10"/>
      <c r="AQ327" s="10"/>
      <c r="AR327" s="10"/>
      <c r="AS327" s="10"/>
    </row>
    <row r="328" spans="1:45" ht="14">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42" t="s">
        <v>151</v>
      </c>
      <c r="AC328" s="42" t="s">
        <v>1637</v>
      </c>
      <c r="AD328" s="70" t="s">
        <v>1806</v>
      </c>
      <c r="AE328" s="53" t="s">
        <v>1807</v>
      </c>
      <c r="AF328" s="10"/>
      <c r="AG328" s="10"/>
      <c r="AH328" s="10"/>
      <c r="AI328" s="10"/>
      <c r="AJ328" s="10"/>
      <c r="AK328" s="10"/>
      <c r="AL328" s="10"/>
      <c r="AM328" s="10"/>
      <c r="AN328" s="10"/>
      <c r="AO328" s="10"/>
      <c r="AP328" s="10"/>
      <c r="AQ328" s="10"/>
      <c r="AR328" s="10"/>
      <c r="AS328" s="10"/>
    </row>
    <row r="329" spans="1:45" ht="28">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42" t="s">
        <v>151</v>
      </c>
      <c r="AC329" s="70" t="s">
        <v>1671</v>
      </c>
      <c r="AD329" s="70"/>
      <c r="AE329" s="53"/>
      <c r="AF329" s="10"/>
      <c r="AG329" s="10"/>
      <c r="AH329" s="10"/>
      <c r="AI329" s="10"/>
      <c r="AJ329" s="10"/>
      <c r="AK329" s="10"/>
      <c r="AL329" s="10"/>
      <c r="AM329" s="10"/>
      <c r="AN329" s="10"/>
      <c r="AO329" s="10"/>
      <c r="AP329" s="10"/>
      <c r="AQ329" s="10"/>
      <c r="AR329" s="10"/>
      <c r="AS329" s="10"/>
    </row>
    <row r="330" spans="1:45" ht="1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42" t="s">
        <v>151</v>
      </c>
      <c r="AC330" s="42" t="s">
        <v>1627</v>
      </c>
      <c r="AD330" s="70"/>
      <c r="AE330" s="53"/>
      <c r="AF330" s="10"/>
      <c r="AG330" s="10"/>
      <c r="AH330" s="10"/>
      <c r="AI330" s="10"/>
      <c r="AJ330" s="10"/>
      <c r="AK330" s="10"/>
      <c r="AL330" s="10"/>
      <c r="AM330" s="10"/>
      <c r="AN330" s="10"/>
      <c r="AO330" s="10"/>
      <c r="AP330" s="10"/>
      <c r="AQ330" s="10"/>
      <c r="AR330" s="10"/>
      <c r="AS330" s="10"/>
    </row>
    <row r="331" spans="1:45" ht="14">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42" t="s">
        <v>155</v>
      </c>
      <c r="AC331" s="42" t="s">
        <v>1683</v>
      </c>
      <c r="AD331" s="70" t="s">
        <v>1761</v>
      </c>
      <c r="AE331" s="53" t="s">
        <v>1705</v>
      </c>
      <c r="AF331" s="10"/>
      <c r="AG331" s="10"/>
      <c r="AH331" s="10"/>
      <c r="AI331" s="10"/>
      <c r="AJ331" s="10"/>
      <c r="AK331" s="10"/>
      <c r="AL331" s="10"/>
      <c r="AM331" s="10"/>
      <c r="AN331" s="10"/>
      <c r="AO331" s="10"/>
      <c r="AP331" s="10"/>
      <c r="AQ331" s="10"/>
      <c r="AR331" s="10"/>
      <c r="AS331" s="10"/>
    </row>
    <row r="332" spans="1:45" ht="1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42" t="s">
        <v>155</v>
      </c>
      <c r="AC332" s="42" t="s">
        <v>1728</v>
      </c>
      <c r="AD332" s="70"/>
      <c r="AE332" s="53"/>
      <c r="AF332" s="10"/>
      <c r="AG332" s="10"/>
      <c r="AH332" s="10"/>
      <c r="AI332" s="10"/>
      <c r="AJ332" s="10"/>
      <c r="AK332" s="10"/>
      <c r="AL332" s="10"/>
      <c r="AM332" s="10"/>
      <c r="AN332" s="10"/>
      <c r="AO332" s="10"/>
      <c r="AP332" s="10"/>
      <c r="AQ332" s="10"/>
      <c r="AR332" s="10"/>
      <c r="AS332" s="10"/>
    </row>
    <row r="333" spans="1:45" ht="1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42" t="s">
        <v>155</v>
      </c>
      <c r="AC333" s="42" t="s">
        <v>1779</v>
      </c>
      <c r="AD333" s="70"/>
      <c r="AE333" s="53"/>
      <c r="AF333" s="10"/>
      <c r="AG333" s="10"/>
      <c r="AH333" s="10"/>
      <c r="AI333" s="10"/>
      <c r="AJ333" s="10"/>
      <c r="AK333" s="10"/>
      <c r="AL333" s="10"/>
      <c r="AM333" s="10"/>
      <c r="AN333" s="10"/>
      <c r="AO333" s="10"/>
      <c r="AP333" s="10"/>
      <c r="AQ333" s="10"/>
      <c r="AR333" s="10"/>
      <c r="AS333" s="10"/>
    </row>
    <row r="334" spans="1:45" ht="1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42" t="s">
        <v>155</v>
      </c>
      <c r="AC334" s="42" t="s">
        <v>1615</v>
      </c>
      <c r="AD334" s="70"/>
      <c r="AE334" s="53"/>
      <c r="AF334" s="10"/>
      <c r="AG334" s="10"/>
      <c r="AH334" s="10"/>
      <c r="AI334" s="10"/>
      <c r="AJ334" s="10"/>
      <c r="AK334" s="10"/>
      <c r="AL334" s="10"/>
      <c r="AM334" s="10"/>
      <c r="AN334" s="10"/>
      <c r="AO334" s="10"/>
      <c r="AP334" s="10"/>
      <c r="AQ334" s="10"/>
      <c r="AR334" s="10"/>
      <c r="AS334" s="10"/>
    </row>
    <row r="335" spans="1:45" ht="14">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42" t="s">
        <v>159</v>
      </c>
      <c r="AC335" s="42" t="s">
        <v>1740</v>
      </c>
      <c r="AD335" s="70" t="s">
        <v>1808</v>
      </c>
      <c r="AE335" s="53"/>
      <c r="AF335" s="10"/>
      <c r="AG335" s="10"/>
      <c r="AH335" s="10"/>
      <c r="AI335" s="10"/>
      <c r="AJ335" s="10"/>
      <c r="AK335" s="10"/>
      <c r="AL335" s="10"/>
      <c r="AM335" s="10"/>
      <c r="AN335" s="10"/>
      <c r="AO335" s="10"/>
      <c r="AP335" s="10"/>
      <c r="AQ335" s="10"/>
      <c r="AR335" s="10"/>
      <c r="AS335" s="10"/>
    </row>
    <row r="336" spans="1:45" ht="28">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42" t="s">
        <v>159</v>
      </c>
      <c r="AC336" s="70" t="s">
        <v>1802</v>
      </c>
      <c r="AD336" s="70" t="s">
        <v>1809</v>
      </c>
      <c r="AE336" s="53" t="s">
        <v>1705</v>
      </c>
      <c r="AF336" s="10"/>
      <c r="AG336" s="10"/>
      <c r="AH336" s="10"/>
      <c r="AI336" s="10"/>
      <c r="AJ336" s="10"/>
      <c r="AK336" s="10"/>
      <c r="AL336" s="10"/>
      <c r="AM336" s="10"/>
      <c r="AN336" s="10"/>
      <c r="AO336" s="10"/>
      <c r="AP336" s="10"/>
      <c r="AQ336" s="10"/>
      <c r="AR336" s="10"/>
      <c r="AS336" s="10"/>
    </row>
    <row r="337" spans="1:45" ht="14">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42" t="s">
        <v>159</v>
      </c>
      <c r="AC337" s="70" t="s">
        <v>1736</v>
      </c>
      <c r="AD337" s="70" t="s">
        <v>1810</v>
      </c>
      <c r="AE337" s="53"/>
      <c r="AF337" s="10"/>
      <c r="AG337" s="10"/>
      <c r="AH337" s="10"/>
      <c r="AI337" s="10"/>
      <c r="AJ337" s="10"/>
      <c r="AK337" s="10"/>
      <c r="AL337" s="10"/>
      <c r="AM337" s="10"/>
      <c r="AN337" s="10"/>
      <c r="AO337" s="10"/>
      <c r="AP337" s="10"/>
      <c r="AQ337" s="10"/>
      <c r="AR337" s="10"/>
      <c r="AS337" s="10"/>
    </row>
    <row r="338" spans="1:45" ht="2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42" t="s">
        <v>159</v>
      </c>
      <c r="AC338" s="42" t="s">
        <v>1791</v>
      </c>
      <c r="AD338" s="70" t="s">
        <v>1811</v>
      </c>
      <c r="AE338" s="53" t="s">
        <v>1677</v>
      </c>
      <c r="AF338" s="10"/>
      <c r="AG338" s="10"/>
      <c r="AH338" s="10"/>
      <c r="AI338" s="10"/>
      <c r="AJ338" s="10"/>
      <c r="AK338" s="10"/>
      <c r="AL338" s="10"/>
      <c r="AM338" s="10"/>
      <c r="AN338" s="10"/>
      <c r="AO338" s="10"/>
      <c r="AP338" s="10"/>
      <c r="AQ338" s="10"/>
      <c r="AR338" s="10"/>
      <c r="AS338" s="10"/>
    </row>
    <row r="339" spans="1:45" ht="1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42" t="s">
        <v>159</v>
      </c>
      <c r="AC339" s="42" t="s">
        <v>1683</v>
      </c>
      <c r="AD339" s="70"/>
      <c r="AE339" s="53"/>
      <c r="AF339" s="10"/>
      <c r="AG339" s="10"/>
      <c r="AH339" s="10"/>
      <c r="AI339" s="10"/>
      <c r="AJ339" s="10"/>
      <c r="AK339" s="10"/>
      <c r="AL339" s="10"/>
      <c r="AM339" s="10"/>
      <c r="AN339" s="10"/>
      <c r="AO339" s="10"/>
      <c r="AP339" s="10"/>
      <c r="AQ339" s="10"/>
      <c r="AR339" s="10"/>
      <c r="AS339" s="10"/>
    </row>
    <row r="340" spans="1:45" ht="1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42" t="s">
        <v>159</v>
      </c>
      <c r="AC340" s="42" t="s">
        <v>1637</v>
      </c>
      <c r="AD340" s="70"/>
      <c r="AE340" s="53"/>
      <c r="AF340" s="10"/>
      <c r="AG340" s="10"/>
      <c r="AH340" s="10"/>
      <c r="AI340" s="10"/>
      <c r="AJ340" s="10"/>
      <c r="AK340" s="10"/>
      <c r="AL340" s="10"/>
      <c r="AM340" s="10"/>
      <c r="AN340" s="10"/>
      <c r="AO340" s="10"/>
      <c r="AP340" s="10"/>
      <c r="AQ340" s="10"/>
      <c r="AR340" s="10"/>
      <c r="AS340" s="10"/>
    </row>
    <row r="341" spans="1:45" ht="14">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42" t="s">
        <v>163</v>
      </c>
      <c r="AC341" s="42" t="s">
        <v>1683</v>
      </c>
      <c r="AD341" s="70" t="s">
        <v>1809</v>
      </c>
      <c r="AE341" s="53" t="s">
        <v>1705</v>
      </c>
      <c r="AF341" s="10"/>
      <c r="AG341" s="10"/>
      <c r="AH341" s="10"/>
      <c r="AI341" s="10"/>
      <c r="AJ341" s="10"/>
      <c r="AK341" s="10"/>
      <c r="AL341" s="10"/>
      <c r="AM341" s="10"/>
      <c r="AN341" s="10"/>
      <c r="AO341" s="10"/>
      <c r="AP341" s="10"/>
      <c r="AQ341" s="10"/>
      <c r="AR341" s="10"/>
      <c r="AS341" s="10"/>
    </row>
    <row r="342" spans="1:45" ht="14">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42" t="s">
        <v>163</v>
      </c>
      <c r="AC342" s="42" t="s">
        <v>1728</v>
      </c>
      <c r="AD342" s="70" t="s">
        <v>1812</v>
      </c>
      <c r="AE342" s="53" t="s">
        <v>1813</v>
      </c>
      <c r="AF342" s="10"/>
      <c r="AG342" s="10"/>
      <c r="AH342" s="10"/>
      <c r="AI342" s="10"/>
      <c r="AJ342" s="10"/>
      <c r="AK342" s="10"/>
      <c r="AL342" s="10"/>
      <c r="AM342" s="10"/>
      <c r="AN342" s="10"/>
      <c r="AO342" s="10"/>
      <c r="AP342" s="10"/>
      <c r="AQ342" s="10"/>
      <c r="AR342" s="10"/>
      <c r="AS342" s="10"/>
    </row>
    <row r="343" spans="1:45" ht="1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42" t="s">
        <v>163</v>
      </c>
      <c r="AC343" s="42" t="s">
        <v>1779</v>
      </c>
      <c r="AD343" s="70"/>
      <c r="AE343" s="53"/>
      <c r="AF343" s="10"/>
      <c r="AG343" s="10"/>
      <c r="AH343" s="10"/>
      <c r="AI343" s="10"/>
      <c r="AJ343" s="10"/>
      <c r="AK343" s="10"/>
      <c r="AL343" s="10"/>
      <c r="AM343" s="10"/>
      <c r="AN343" s="10"/>
      <c r="AO343" s="10"/>
      <c r="AP343" s="10"/>
      <c r="AQ343" s="10"/>
      <c r="AR343" s="10"/>
      <c r="AS343" s="10"/>
    </row>
    <row r="344" spans="1:45" ht="1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42" t="s">
        <v>163</v>
      </c>
      <c r="AC344" s="42" t="s">
        <v>1791</v>
      </c>
      <c r="AD344" s="70"/>
      <c r="AE344" s="53"/>
      <c r="AF344" s="10"/>
      <c r="AG344" s="10"/>
      <c r="AH344" s="10"/>
      <c r="AI344" s="10"/>
      <c r="AJ344" s="10"/>
      <c r="AK344" s="10"/>
      <c r="AL344" s="10"/>
      <c r="AM344" s="10"/>
      <c r="AN344" s="10"/>
      <c r="AO344" s="10"/>
      <c r="AP344" s="10"/>
      <c r="AQ344" s="10"/>
      <c r="AR344" s="10"/>
      <c r="AS344" s="10"/>
    </row>
    <row r="345" spans="1:45" ht="1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42" t="s">
        <v>163</v>
      </c>
      <c r="AC345" s="42" t="s">
        <v>1637</v>
      </c>
      <c r="AD345" s="70"/>
      <c r="AE345" s="53"/>
      <c r="AF345" s="10"/>
      <c r="AG345" s="10"/>
      <c r="AH345" s="10"/>
      <c r="AI345" s="10"/>
      <c r="AJ345" s="10"/>
      <c r="AK345" s="10"/>
      <c r="AL345" s="10"/>
      <c r="AM345" s="10"/>
      <c r="AN345" s="10"/>
      <c r="AO345" s="10"/>
      <c r="AP345" s="10"/>
      <c r="AQ345" s="10"/>
      <c r="AR345" s="10"/>
      <c r="AS345" s="10"/>
    </row>
    <row r="346" spans="1:45" ht="1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42" t="s">
        <v>163</v>
      </c>
      <c r="AC346" s="42" t="s">
        <v>1615</v>
      </c>
      <c r="AD346" s="70"/>
      <c r="AE346" s="53"/>
      <c r="AF346" s="10"/>
      <c r="AG346" s="10"/>
      <c r="AH346" s="10"/>
      <c r="AI346" s="10"/>
      <c r="AJ346" s="10"/>
      <c r="AK346" s="10"/>
      <c r="AL346" s="10"/>
      <c r="AM346" s="10"/>
      <c r="AN346" s="10"/>
      <c r="AO346" s="10"/>
      <c r="AP346" s="10"/>
      <c r="AQ346" s="10"/>
      <c r="AR346" s="10"/>
      <c r="AS346" s="10"/>
    </row>
    <row r="347" spans="1:45" ht="14">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42" t="s">
        <v>168</v>
      </c>
      <c r="AC347" s="42" t="s">
        <v>1637</v>
      </c>
      <c r="AD347" s="70" t="s">
        <v>1047</v>
      </c>
      <c r="AE347" s="53"/>
      <c r="AF347" s="10"/>
      <c r="AG347" s="10"/>
      <c r="AH347" s="10"/>
      <c r="AI347" s="10"/>
      <c r="AJ347" s="10"/>
      <c r="AK347" s="10"/>
      <c r="AL347" s="10"/>
      <c r="AM347" s="10"/>
      <c r="AN347" s="10"/>
      <c r="AO347" s="10"/>
      <c r="AP347" s="10"/>
      <c r="AQ347" s="10"/>
      <c r="AR347" s="10"/>
      <c r="AS347" s="10"/>
    </row>
    <row r="348" spans="1:45" ht="1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42" t="s">
        <v>168</v>
      </c>
      <c r="AC348" s="42" t="s">
        <v>1683</v>
      </c>
      <c r="AD348" s="70"/>
      <c r="AE348" s="53"/>
      <c r="AF348" s="10"/>
      <c r="AG348" s="10"/>
      <c r="AH348" s="10"/>
      <c r="AI348" s="10"/>
      <c r="AJ348" s="10"/>
      <c r="AK348" s="10"/>
      <c r="AL348" s="10"/>
      <c r="AM348" s="10"/>
      <c r="AN348" s="10"/>
      <c r="AO348" s="10"/>
      <c r="AP348" s="10"/>
      <c r="AQ348" s="10"/>
      <c r="AR348" s="10"/>
      <c r="AS348" s="10"/>
    </row>
    <row r="349" spans="1:45" ht="1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42" t="s">
        <v>168</v>
      </c>
      <c r="AC349" s="42" t="s">
        <v>1779</v>
      </c>
      <c r="AD349" s="70"/>
      <c r="AE349" s="53"/>
      <c r="AF349" s="10"/>
      <c r="AG349" s="10"/>
      <c r="AH349" s="10"/>
      <c r="AI349" s="10"/>
      <c r="AJ349" s="10"/>
      <c r="AK349" s="10"/>
      <c r="AL349" s="10"/>
      <c r="AM349" s="10"/>
      <c r="AN349" s="10"/>
      <c r="AO349" s="10"/>
      <c r="AP349" s="10"/>
      <c r="AQ349" s="10"/>
      <c r="AR349" s="10"/>
      <c r="AS349" s="10"/>
    </row>
    <row r="350" spans="1:45" ht="14">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42" t="s">
        <v>172</v>
      </c>
      <c r="AC350" s="42" t="s">
        <v>1683</v>
      </c>
      <c r="AD350" s="70" t="s">
        <v>1761</v>
      </c>
      <c r="AE350" s="53" t="s">
        <v>1705</v>
      </c>
      <c r="AF350" s="10"/>
      <c r="AG350" s="10"/>
      <c r="AH350" s="10"/>
      <c r="AI350" s="10"/>
      <c r="AJ350" s="10"/>
      <c r="AK350" s="10"/>
      <c r="AL350" s="10"/>
      <c r="AM350" s="10"/>
      <c r="AN350" s="10"/>
      <c r="AO350" s="10"/>
      <c r="AP350" s="10"/>
      <c r="AQ350" s="10"/>
      <c r="AR350" s="10"/>
      <c r="AS350" s="10"/>
    </row>
    <row r="351" spans="1:45" ht="14">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42" t="s">
        <v>172</v>
      </c>
      <c r="AC351" s="42" t="s">
        <v>1637</v>
      </c>
      <c r="AD351" s="70" t="s">
        <v>1814</v>
      </c>
      <c r="AE351" s="53" t="s">
        <v>1677</v>
      </c>
      <c r="AF351" s="10"/>
      <c r="AG351" s="10"/>
      <c r="AH351" s="10"/>
      <c r="AI351" s="10"/>
      <c r="AJ351" s="10"/>
      <c r="AK351" s="10"/>
      <c r="AL351" s="10"/>
      <c r="AM351" s="10"/>
      <c r="AN351" s="10"/>
      <c r="AO351" s="10"/>
      <c r="AP351" s="10"/>
      <c r="AQ351" s="10"/>
      <c r="AR351" s="10"/>
      <c r="AS351" s="10"/>
    </row>
    <row r="352" spans="1:45" ht="1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42" t="s">
        <v>172</v>
      </c>
      <c r="AC352" s="42" t="s">
        <v>1615</v>
      </c>
      <c r="AD352" s="70"/>
      <c r="AE352" s="53"/>
      <c r="AF352" s="10"/>
      <c r="AG352" s="10"/>
      <c r="AH352" s="10"/>
      <c r="AI352" s="10"/>
      <c r="AJ352" s="10"/>
      <c r="AK352" s="10"/>
      <c r="AL352" s="10"/>
      <c r="AM352" s="10"/>
      <c r="AN352" s="10"/>
      <c r="AO352" s="10"/>
      <c r="AP352" s="10"/>
      <c r="AQ352" s="10"/>
      <c r="AR352" s="10"/>
      <c r="AS352" s="10"/>
    </row>
    <row r="353" spans="1:45" ht="4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42" t="s">
        <v>176</v>
      </c>
      <c r="AC353" s="42" t="s">
        <v>1779</v>
      </c>
      <c r="AD353" s="70" t="s">
        <v>1815</v>
      </c>
      <c r="AE353" s="53" t="s">
        <v>1629</v>
      </c>
      <c r="AF353" s="10"/>
      <c r="AG353" s="10"/>
      <c r="AH353" s="10"/>
      <c r="AI353" s="10"/>
      <c r="AJ353" s="10"/>
      <c r="AK353" s="10"/>
      <c r="AL353" s="10"/>
      <c r="AM353" s="10"/>
      <c r="AN353" s="10"/>
      <c r="AO353" s="10"/>
      <c r="AP353" s="10"/>
      <c r="AQ353" s="10"/>
      <c r="AR353" s="10"/>
      <c r="AS353" s="10"/>
    </row>
    <row r="354" spans="1:45" ht="1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42" t="s">
        <v>176</v>
      </c>
      <c r="AC354" s="42" t="s">
        <v>457</v>
      </c>
      <c r="AD354" s="70"/>
      <c r="AE354" s="53"/>
      <c r="AF354" s="10"/>
      <c r="AG354" s="10"/>
      <c r="AH354" s="10"/>
      <c r="AI354" s="10"/>
      <c r="AJ354" s="10"/>
      <c r="AK354" s="10"/>
      <c r="AL354" s="10"/>
      <c r="AM354" s="10"/>
      <c r="AN354" s="10"/>
      <c r="AO354" s="10"/>
      <c r="AP354" s="10"/>
      <c r="AQ354" s="10"/>
      <c r="AR354" s="10"/>
      <c r="AS354" s="10"/>
    </row>
    <row r="355" spans="1:45" ht="1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42" t="s">
        <v>176</v>
      </c>
      <c r="AC355" s="42" t="s">
        <v>1615</v>
      </c>
      <c r="AD355" s="70"/>
      <c r="AE355" s="53"/>
      <c r="AF355" s="10"/>
      <c r="AG355" s="10"/>
      <c r="AH355" s="10"/>
      <c r="AI355" s="10"/>
      <c r="AJ355" s="10"/>
      <c r="AK355" s="10"/>
      <c r="AL355" s="10"/>
      <c r="AM355" s="10"/>
      <c r="AN355" s="10"/>
      <c r="AO355" s="10"/>
      <c r="AP355" s="10"/>
      <c r="AQ355" s="10"/>
      <c r="AR355" s="10"/>
      <c r="AS355" s="10"/>
    </row>
    <row r="356" spans="1:45" ht="14">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42" t="s">
        <v>180</v>
      </c>
      <c r="AC356" s="42" t="s">
        <v>1637</v>
      </c>
      <c r="AD356" s="70" t="s">
        <v>1047</v>
      </c>
      <c r="AE356" s="53"/>
      <c r="AF356" s="10"/>
      <c r="AG356" s="10"/>
      <c r="AH356" s="10"/>
      <c r="AI356" s="10"/>
      <c r="AJ356" s="10"/>
      <c r="AK356" s="10"/>
      <c r="AL356" s="10"/>
      <c r="AM356" s="10"/>
      <c r="AN356" s="10"/>
      <c r="AO356" s="10"/>
      <c r="AP356" s="10"/>
      <c r="AQ356" s="10"/>
      <c r="AR356" s="10"/>
      <c r="AS356" s="10"/>
    </row>
    <row r="357" spans="1:45" ht="1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42" t="s">
        <v>180</v>
      </c>
      <c r="AC357" s="42" t="s">
        <v>1791</v>
      </c>
      <c r="AD357" s="70"/>
      <c r="AE357" s="53"/>
      <c r="AF357" s="10"/>
      <c r="AG357" s="10"/>
      <c r="AH357" s="10"/>
      <c r="AI357" s="10"/>
      <c r="AJ357" s="10"/>
      <c r="AK357" s="10"/>
      <c r="AL357" s="10"/>
      <c r="AM357" s="10"/>
      <c r="AN357" s="10"/>
      <c r="AO357" s="10"/>
      <c r="AP357" s="10"/>
      <c r="AQ357" s="10"/>
      <c r="AR357" s="10"/>
      <c r="AS357" s="10"/>
    </row>
    <row r="358" spans="1:45" ht="1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42" t="s">
        <v>180</v>
      </c>
      <c r="AC358" s="42" t="s">
        <v>1671</v>
      </c>
      <c r="AD358" s="70"/>
      <c r="AE358" s="53"/>
      <c r="AF358" s="10"/>
      <c r="AG358" s="10"/>
      <c r="AH358" s="10"/>
      <c r="AI358" s="10"/>
      <c r="AJ358" s="10"/>
      <c r="AK358" s="10"/>
      <c r="AL358" s="10"/>
      <c r="AM358" s="10"/>
      <c r="AN358" s="10"/>
      <c r="AO358" s="10"/>
      <c r="AP358" s="10"/>
      <c r="AQ358" s="10"/>
      <c r="AR358" s="10"/>
      <c r="AS358" s="10"/>
    </row>
    <row r="359" spans="1:45" ht="14">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42" t="s">
        <v>184</v>
      </c>
      <c r="AC359" s="42" t="s">
        <v>1637</v>
      </c>
      <c r="AD359" s="70" t="s">
        <v>1816</v>
      </c>
      <c r="AE359" s="70" t="s">
        <v>1774</v>
      </c>
      <c r="AF359" s="10"/>
      <c r="AG359" s="10"/>
      <c r="AH359" s="10"/>
      <c r="AI359" s="10"/>
      <c r="AJ359" s="10"/>
      <c r="AK359" s="10"/>
      <c r="AL359" s="10"/>
      <c r="AM359" s="10"/>
      <c r="AN359" s="10"/>
      <c r="AO359" s="10"/>
      <c r="AP359" s="10"/>
      <c r="AQ359" s="10"/>
      <c r="AR359" s="10"/>
      <c r="AS359" s="10"/>
    </row>
    <row r="360" spans="1:45" ht="28">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77" t="s">
        <v>184</v>
      </c>
      <c r="AC360" s="70" t="s">
        <v>1643</v>
      </c>
      <c r="AD360" s="70" t="s">
        <v>1809</v>
      </c>
      <c r="AE360" s="53" t="s">
        <v>1705</v>
      </c>
      <c r="AF360" s="10"/>
      <c r="AG360" s="10"/>
      <c r="AH360" s="10"/>
      <c r="AI360" s="10"/>
      <c r="AJ360" s="10"/>
      <c r="AK360" s="10"/>
      <c r="AL360" s="10"/>
      <c r="AM360" s="10"/>
      <c r="AN360" s="10"/>
      <c r="AO360" s="10"/>
      <c r="AP360" s="10"/>
      <c r="AQ360" s="10"/>
      <c r="AR360" s="10"/>
      <c r="AS360" s="10"/>
    </row>
    <row r="361" spans="1:45" ht="14">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77" t="s">
        <v>184</v>
      </c>
      <c r="AC361" s="42" t="s">
        <v>1671</v>
      </c>
      <c r="AD361" s="70" t="s">
        <v>1786</v>
      </c>
      <c r="AE361" s="74" t="s">
        <v>1685</v>
      </c>
      <c r="AF361" s="10"/>
      <c r="AG361" s="10"/>
      <c r="AH361" s="10"/>
      <c r="AI361" s="10"/>
      <c r="AJ361" s="10"/>
      <c r="AK361" s="10"/>
      <c r="AL361" s="10"/>
      <c r="AM361" s="10"/>
      <c r="AN361" s="10"/>
      <c r="AO361" s="10"/>
      <c r="AP361" s="10"/>
      <c r="AQ361" s="10"/>
      <c r="AR361" s="10"/>
      <c r="AS361" s="10"/>
    </row>
    <row r="362" spans="1:45" ht="1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77" t="s">
        <v>184</v>
      </c>
      <c r="AC362" s="42" t="s">
        <v>1683</v>
      </c>
      <c r="AD362" s="70"/>
      <c r="AE362" s="53"/>
      <c r="AF362" s="10"/>
      <c r="AG362" s="10"/>
      <c r="AH362" s="10"/>
      <c r="AI362" s="10"/>
      <c r="AJ362" s="10"/>
      <c r="AK362" s="10"/>
      <c r="AL362" s="10"/>
      <c r="AM362" s="10"/>
      <c r="AN362" s="10"/>
      <c r="AO362" s="10"/>
      <c r="AP362" s="10"/>
      <c r="AQ362" s="10"/>
      <c r="AR362" s="10"/>
      <c r="AS362" s="10"/>
    </row>
    <row r="363" spans="1:45" ht="1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42" t="s">
        <v>188</v>
      </c>
      <c r="AC363" s="42" t="s">
        <v>1615</v>
      </c>
      <c r="AD363" s="70"/>
      <c r="AE363" s="53"/>
      <c r="AF363" s="10"/>
      <c r="AG363" s="10"/>
      <c r="AH363" s="10"/>
      <c r="AI363" s="10"/>
      <c r="AJ363" s="10"/>
      <c r="AK363" s="10"/>
      <c r="AL363" s="10"/>
      <c r="AM363" s="10"/>
      <c r="AN363" s="10"/>
      <c r="AO363" s="10"/>
      <c r="AP363" s="10"/>
      <c r="AQ363" s="10"/>
      <c r="AR363" s="10"/>
      <c r="AS363" s="10"/>
    </row>
    <row r="364" spans="1:45" ht="1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42" t="s">
        <v>188</v>
      </c>
      <c r="AC364" s="42" t="s">
        <v>1637</v>
      </c>
      <c r="AD364" s="70" t="s">
        <v>1817</v>
      </c>
      <c r="AE364" s="53"/>
      <c r="AF364" s="10"/>
      <c r="AG364" s="10"/>
      <c r="AH364" s="10"/>
      <c r="AI364" s="10"/>
      <c r="AJ364" s="10"/>
      <c r="AK364" s="10"/>
      <c r="AL364" s="10"/>
      <c r="AM364" s="10"/>
      <c r="AN364" s="10"/>
      <c r="AO364" s="10"/>
      <c r="AP364" s="10"/>
      <c r="AQ364" s="10"/>
      <c r="AR364" s="10"/>
      <c r="AS364" s="10"/>
    </row>
    <row r="365" spans="1:45" ht="1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42" t="s">
        <v>188</v>
      </c>
      <c r="AC365" s="42" t="s">
        <v>1683</v>
      </c>
      <c r="AD365" s="47"/>
      <c r="AE365" s="53"/>
      <c r="AF365" s="10"/>
      <c r="AG365" s="10"/>
      <c r="AH365" s="10"/>
      <c r="AI365" s="10"/>
      <c r="AJ365" s="10"/>
      <c r="AK365" s="10"/>
      <c r="AL365" s="10"/>
      <c r="AM365" s="10"/>
      <c r="AN365" s="10"/>
      <c r="AO365" s="10"/>
      <c r="AP365" s="10"/>
      <c r="AQ365" s="10"/>
      <c r="AR365" s="10"/>
      <c r="AS365" s="10"/>
    </row>
    <row r="366" spans="1:45" ht="1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row>
    <row r="367" spans="1:45" ht="1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row>
    <row r="368" spans="1:45" ht="1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row>
    <row r="369" spans="1:45" ht="1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row>
    <row r="370" spans="1:45" ht="1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row>
    <row r="371" spans="1:45" ht="1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row>
    <row r="372" spans="1:45" ht="1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row>
    <row r="373" spans="1:45" ht="1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row>
    <row r="374" spans="1:45" ht="1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row>
    <row r="375" spans="1:45" ht="1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row>
    <row r="376" spans="1:45" ht="1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row>
    <row r="377" spans="1:45" ht="1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row>
    <row r="378" spans="1:45" ht="1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row>
    <row r="379" spans="1:45" ht="1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row>
    <row r="380" spans="1:45" ht="1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row>
    <row r="381" spans="1:45" ht="1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row>
    <row r="382" spans="1:45" ht="1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row>
    <row r="383" spans="1:45" ht="1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row>
    <row r="384" spans="1:45" ht="1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row>
    <row r="385" spans="1:45" ht="1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row>
    <row r="386" spans="1:45" ht="1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row>
    <row r="387" spans="1:45" ht="1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row>
    <row r="388" spans="1:45" ht="1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row>
    <row r="389" spans="1:45" ht="1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row>
    <row r="390" spans="1:45" ht="1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row>
    <row r="391" spans="1:45" ht="1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row>
    <row r="392" spans="1:45" ht="1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row>
    <row r="393" spans="1:45" ht="1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row>
    <row r="394" spans="1:45" ht="1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row>
    <row r="395" spans="1:45" ht="1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row>
    <row r="396" spans="1:45" ht="1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row>
    <row r="397" spans="1:45" ht="1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row>
    <row r="398" spans="1:45" ht="1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row>
    <row r="399" spans="1:45" ht="1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row>
    <row r="400" spans="1:45" ht="1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row>
    <row r="401" spans="1:45" ht="1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row>
    <row r="402" spans="1:45" ht="1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row>
    <row r="403" spans="1:45" ht="1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row>
    <row r="404" spans="1:45" ht="1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row>
    <row r="405" spans="1:45" ht="1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row>
    <row r="406" spans="1:45" ht="1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row>
    <row r="407" spans="1:45" ht="1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row>
    <row r="408" spans="1:45" ht="1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row>
    <row r="409" spans="1:45" ht="1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row>
    <row r="410" spans="1:45" ht="1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row>
    <row r="411" spans="1:45" ht="1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row>
    <row r="412" spans="1:45" ht="1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row>
    <row r="413" spans="1:45" ht="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row>
    <row r="414" spans="1:45" ht="1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row>
    <row r="415" spans="1:45" ht="1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row>
    <row r="416" spans="1:45" ht="1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row>
    <row r="417" spans="1:45" ht="1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row>
    <row r="418" spans="1:45" ht="1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row>
    <row r="419" spans="1:45" ht="1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row>
    <row r="420" spans="1:45" ht="1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row>
    <row r="421" spans="1:45" ht="1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row>
    <row r="422" spans="1:45" ht="1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row>
    <row r="423" spans="1:45" ht="1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row>
    <row r="424" spans="1:45" ht="1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row>
    <row r="425" spans="1:45" ht="1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row>
    <row r="426" spans="1:45" ht="1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row>
    <row r="427" spans="1:45" ht="1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row>
    <row r="428" spans="1:45" ht="1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row>
    <row r="429" spans="1:45" ht="1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row>
    <row r="430" spans="1:45" ht="1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row>
    <row r="431" spans="1:45" ht="1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row>
    <row r="432" spans="1:45" ht="1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row>
    <row r="433" spans="1:45" ht="1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row>
    <row r="434" spans="1:45" ht="1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row>
    <row r="435" spans="1:45" ht="1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row>
    <row r="436" spans="1:45" ht="1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row>
    <row r="437" spans="1:45" ht="1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row>
    <row r="438" spans="1:45" ht="1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row>
    <row r="439" spans="1:45" ht="1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row>
    <row r="440" spans="1:45" ht="1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row>
    <row r="441" spans="1:45" ht="1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row>
    <row r="442" spans="1:45" ht="1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row>
    <row r="443" spans="1:45" ht="1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row>
    <row r="444" spans="1:45" ht="1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row>
    <row r="445" spans="1:45" ht="1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row>
    <row r="446" spans="1:45" ht="1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row>
    <row r="447" spans="1:45" ht="1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row>
    <row r="448" spans="1:45" ht="1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row>
    <row r="449" spans="1:45" ht="1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row>
    <row r="450" spans="1:45" ht="1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row>
    <row r="451" spans="1:45" ht="1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row>
    <row r="452" spans="1:45" ht="1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row>
    <row r="453" spans="1:45" ht="1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row>
    <row r="454" spans="1:45" ht="1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row>
    <row r="455" spans="1:45" ht="1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row>
    <row r="456" spans="1:45" ht="1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row>
    <row r="457" spans="1:45" ht="1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row>
    <row r="458" spans="1:45" ht="1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row>
    <row r="459" spans="1:45" ht="1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row>
    <row r="460" spans="1:45" ht="1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row>
    <row r="461" spans="1:45" ht="1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row>
    <row r="462" spans="1:45" ht="1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row>
    <row r="463" spans="1:45" ht="1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row>
    <row r="464" spans="1:45" ht="1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row>
    <row r="465" spans="1:45" ht="1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row>
    <row r="466" spans="1:45" ht="1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row>
    <row r="467" spans="1:45" ht="1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row>
    <row r="468" spans="1:45" ht="1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row>
    <row r="469" spans="1:45" ht="1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row>
    <row r="470" spans="1:45" ht="1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row>
    <row r="471" spans="1:45" ht="1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row>
    <row r="472" spans="1:45" ht="1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row>
    <row r="473" spans="1:45" ht="1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row>
    <row r="474" spans="1:45" ht="1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row>
    <row r="475" spans="1:45" ht="1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row>
    <row r="476" spans="1:45" ht="1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row>
    <row r="477" spans="1:45" ht="1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row>
    <row r="478" spans="1:45" ht="1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row>
    <row r="479" spans="1:45" ht="1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row>
    <row r="480" spans="1:45" ht="1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row>
    <row r="481" spans="1:45" ht="1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row>
    <row r="482" spans="1:45" ht="1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row>
    <row r="483" spans="1:45" ht="1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row>
    <row r="484" spans="1:45" ht="1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row>
    <row r="485" spans="1:45" ht="1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row>
    <row r="486" spans="1:45" ht="1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row>
    <row r="487" spans="1:45" ht="1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row>
    <row r="488" spans="1:45" ht="1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row>
    <row r="489" spans="1:45" ht="1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row>
    <row r="490" spans="1:45" ht="1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row>
    <row r="491" spans="1:45" ht="1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row>
    <row r="492" spans="1:45" ht="1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row>
    <row r="493" spans="1:45" ht="1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row>
    <row r="494" spans="1:45" ht="1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row>
    <row r="495" spans="1:45" ht="1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row>
    <row r="496" spans="1:45" ht="1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row>
    <row r="497" spans="1:45" ht="1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row>
    <row r="498" spans="1:45" ht="1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row>
    <row r="499" spans="1:45" ht="1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row>
    <row r="500" spans="1:45" ht="1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row>
    <row r="501" spans="1:45" ht="1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row>
    <row r="502" spans="1:45" ht="1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row>
    <row r="503" spans="1:45" ht="1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row>
    <row r="504" spans="1:45" ht="1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row>
    <row r="505" spans="1:45" ht="1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row>
    <row r="506" spans="1:45" ht="1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row>
    <row r="507" spans="1:45" ht="1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row>
    <row r="508" spans="1:45" ht="1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row>
    <row r="509" spans="1:45" ht="1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row>
    <row r="510" spans="1:45" ht="1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row>
    <row r="511" spans="1:45" ht="1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row>
    <row r="512" spans="1:45" ht="1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row>
    <row r="513" spans="1:45" ht="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row>
    <row r="514" spans="1:45" ht="1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row>
    <row r="515" spans="1:45" ht="1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row>
    <row r="516" spans="1:45" ht="1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row>
    <row r="517" spans="1:45" ht="1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row>
    <row r="518" spans="1:45" ht="1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row>
    <row r="519" spans="1:45" ht="1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row>
    <row r="520" spans="1:45" ht="1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row>
    <row r="521" spans="1:45" ht="1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row>
    <row r="522" spans="1:45" ht="1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row>
    <row r="523" spans="1:45" ht="1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row>
    <row r="524" spans="1:45" ht="1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row>
    <row r="525" spans="1:45" ht="1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row>
    <row r="526" spans="1:45" ht="1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row>
    <row r="527" spans="1:45" ht="1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row>
    <row r="528" spans="1:45" ht="1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row>
    <row r="529" spans="1:45" ht="1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row>
    <row r="530" spans="1:45" ht="1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row>
    <row r="531" spans="1:45" ht="1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row>
    <row r="532" spans="1:45" ht="1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row>
    <row r="533" spans="1:45" ht="1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row>
    <row r="534" spans="1:45" ht="1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row>
    <row r="535" spans="1:45" ht="1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row>
    <row r="536" spans="1:45" ht="1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row>
    <row r="537" spans="1:45" ht="1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row>
    <row r="538" spans="1:45" ht="1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row>
    <row r="539" spans="1:45" ht="1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row>
    <row r="540" spans="1:45" ht="1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row>
    <row r="541" spans="1:45" ht="1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row>
    <row r="542" spans="1:45" ht="1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row>
    <row r="543" spans="1:45" ht="1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row>
    <row r="544" spans="1:45" ht="1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row>
    <row r="545" spans="1:45" ht="1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row>
    <row r="546" spans="1:45" ht="1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row>
    <row r="547" spans="1:45" ht="1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row>
    <row r="548" spans="1:45" ht="1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row>
    <row r="549" spans="1:45" ht="1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row>
    <row r="550" spans="1:45" ht="1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row>
    <row r="551" spans="1:45" ht="1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row>
    <row r="552" spans="1:45" ht="1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row>
    <row r="553" spans="1:45" ht="1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row>
    <row r="554" spans="1:45" ht="1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row>
    <row r="555" spans="1:45" ht="1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row>
    <row r="556" spans="1:45" ht="1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row>
    <row r="557" spans="1:45" ht="1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row>
    <row r="558" spans="1:45" ht="1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row>
    <row r="559" spans="1:45" ht="1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row>
    <row r="560" spans="1:45" ht="1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row>
    <row r="561" spans="1:45" ht="1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row>
    <row r="562" spans="1:45" ht="1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row>
    <row r="563" spans="1:45" ht="1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row>
    <row r="564" spans="1:45" ht="1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row>
    <row r="565" spans="1:45" ht="1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row>
    <row r="566" spans="1:45" ht="1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row>
    <row r="567" spans="1:45" ht="1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row>
    <row r="568" spans="1:45" ht="1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row>
    <row r="569" spans="1:45" ht="1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row>
    <row r="570" spans="1:45" ht="1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row>
    <row r="571" spans="1:45" ht="1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row>
    <row r="572" spans="1:45" ht="1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row>
    <row r="573" spans="1:45" ht="1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row>
    <row r="574" spans="1:45" ht="1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row>
    <row r="575" spans="1:45" ht="1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row>
    <row r="576" spans="1:45" ht="1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row>
    <row r="577" spans="1:45" ht="1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row>
    <row r="578" spans="1:45" ht="1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row>
    <row r="579" spans="1:45" ht="1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row>
    <row r="580" spans="1:45" ht="1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row>
    <row r="581" spans="1:45" ht="1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row>
    <row r="582" spans="1:45" ht="1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row>
    <row r="583" spans="1:45" ht="1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row>
    <row r="584" spans="1:45" ht="1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row>
    <row r="585" spans="1:45" ht="1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row>
    <row r="586" spans="1:45" ht="1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row>
    <row r="587" spans="1:45" ht="1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row>
    <row r="588" spans="1:45" ht="1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row>
    <row r="589" spans="1:45" ht="1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row>
    <row r="590" spans="1:45" ht="1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row>
    <row r="591" spans="1:45" ht="1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row>
    <row r="592" spans="1:45" ht="1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row>
    <row r="593" spans="1:45" ht="1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row>
    <row r="594" spans="1:45" ht="1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row>
    <row r="595" spans="1:45" ht="1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row>
    <row r="596" spans="1:45" ht="1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row>
    <row r="597" spans="1:45" ht="1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row>
    <row r="598" spans="1:45" ht="1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row>
    <row r="599" spans="1:45" ht="1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row>
    <row r="600" spans="1:45" ht="1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row>
    <row r="601" spans="1:45" ht="1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row>
    <row r="602" spans="1:45" ht="1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row>
    <row r="603" spans="1:45" ht="1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row>
    <row r="604" spans="1:45" ht="1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row>
    <row r="605" spans="1:45" ht="1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row>
    <row r="606" spans="1:45" ht="1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row>
    <row r="607" spans="1:45" ht="1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row>
    <row r="608" spans="1:45" ht="1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row>
    <row r="609" spans="1:45" ht="1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row>
    <row r="610" spans="1:45" ht="1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row>
    <row r="611" spans="1:45" ht="1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row>
    <row r="612" spans="1:45" ht="1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row>
    <row r="613" spans="1:45" ht="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row>
    <row r="614" spans="1:45" ht="1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row>
    <row r="615" spans="1:45" ht="1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row>
    <row r="616" spans="1:45" ht="1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row>
    <row r="617" spans="1:45" ht="1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row>
    <row r="618" spans="1:45" ht="1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row>
    <row r="619" spans="1:45" ht="1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row>
    <row r="620" spans="1:45" ht="1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row>
    <row r="621" spans="1:45" ht="1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row>
    <row r="622" spans="1:45" ht="1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row>
    <row r="623" spans="1:45" ht="1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row>
    <row r="624" spans="1:45" ht="1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row>
    <row r="625" spans="1:45" ht="1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row>
    <row r="626" spans="1:45" ht="1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row>
    <row r="627" spans="1:45" ht="1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row>
    <row r="628" spans="1:45" ht="1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row>
    <row r="629" spans="1:45" ht="1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row>
    <row r="630" spans="1:45" ht="1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row>
    <row r="631" spans="1:45" ht="1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row>
    <row r="632" spans="1:45" ht="1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row>
    <row r="633" spans="1:45" ht="1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row>
    <row r="634" spans="1:45" ht="1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row>
    <row r="635" spans="1:45" ht="1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row>
    <row r="636" spans="1:45" ht="1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row>
    <row r="637" spans="1:45" ht="1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row>
    <row r="638" spans="1:45" ht="1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row>
    <row r="639" spans="1:45" ht="1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row>
    <row r="640" spans="1:45" ht="1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row>
    <row r="641" spans="1:45" ht="1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row>
    <row r="642" spans="1:45" ht="1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row>
    <row r="643" spans="1:45" ht="1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row>
    <row r="644" spans="1:45" ht="1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row>
    <row r="645" spans="1:45" ht="1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row>
    <row r="646" spans="1:45" ht="1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row>
    <row r="647" spans="1:45" ht="1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row>
    <row r="648" spans="1:45" ht="1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row>
    <row r="649" spans="1:45" ht="1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row>
    <row r="650" spans="1:45" ht="1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row>
    <row r="651" spans="1:45" ht="1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row>
    <row r="652" spans="1:45" ht="1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row>
    <row r="653" spans="1:45" ht="1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row>
    <row r="654" spans="1:45" ht="1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row>
    <row r="655" spans="1:45" ht="1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row>
    <row r="656" spans="1:45" ht="1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row>
    <row r="657" spans="1:45" ht="1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row>
    <row r="658" spans="1:45" ht="1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row>
    <row r="659" spans="1:45" ht="1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row>
    <row r="660" spans="1:45" ht="1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row>
    <row r="661" spans="1:45" ht="1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row>
    <row r="662" spans="1:45" ht="1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row>
    <row r="663" spans="1:45" ht="1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row>
    <row r="664" spans="1:45" ht="1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row>
    <row r="665" spans="1:45" ht="1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row>
    <row r="666" spans="1:45" ht="1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row>
    <row r="667" spans="1:45" ht="1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row>
    <row r="668" spans="1:45" ht="1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row>
    <row r="669" spans="1:45" ht="1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row>
    <row r="670" spans="1:45" ht="1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row>
    <row r="671" spans="1:45" ht="1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row>
    <row r="672" spans="1:45" ht="1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row>
    <row r="673" spans="1:45" ht="1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row>
    <row r="674" spans="1:45" ht="1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row>
    <row r="675" spans="1:45" ht="1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row>
    <row r="676" spans="1:45" ht="1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row>
    <row r="677" spans="1:45" ht="1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row>
    <row r="678" spans="1:45" ht="1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row>
    <row r="679" spans="1:45" ht="1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row>
    <row r="680" spans="1:45" ht="1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row>
    <row r="681" spans="1:45" ht="1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row>
    <row r="682" spans="1:45" ht="1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row>
    <row r="683" spans="1:45" ht="1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row>
    <row r="684" spans="1:45" ht="1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row>
    <row r="685" spans="1:45" ht="1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row>
    <row r="686" spans="1:45" ht="1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row>
    <row r="687" spans="1:45" ht="1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row>
    <row r="688" spans="1:45" ht="1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row>
    <row r="689" spans="1:45" ht="1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row>
    <row r="690" spans="1:45" ht="1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row>
    <row r="691" spans="1:45" ht="1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row>
    <row r="692" spans="1:45" ht="1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row>
    <row r="693" spans="1:45" ht="1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row>
    <row r="694" spans="1:45" ht="1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row>
    <row r="695" spans="1:45" ht="1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row>
    <row r="696" spans="1:45" ht="1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row>
    <row r="697" spans="1:45" ht="1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row>
    <row r="698" spans="1:45" ht="1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row>
    <row r="699" spans="1:45" ht="1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row>
    <row r="700" spans="1:45" ht="1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row>
    <row r="701" spans="1:45" ht="1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row>
    <row r="702" spans="1:45" ht="1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row>
    <row r="703" spans="1:45" ht="1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row>
    <row r="704" spans="1:45" ht="1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row>
    <row r="705" spans="1:45" ht="1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row>
    <row r="706" spans="1:45" ht="1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row>
    <row r="707" spans="1:45" ht="1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row>
    <row r="708" spans="1:45" ht="1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row>
    <row r="709" spans="1:45" ht="1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row>
    <row r="710" spans="1:45" ht="1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row>
    <row r="711" spans="1:45" ht="1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row>
    <row r="712" spans="1:45" ht="1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row>
    <row r="713" spans="1:45" ht="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row>
    <row r="714" spans="1:45" ht="1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row>
    <row r="715" spans="1:45" ht="1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row>
    <row r="716" spans="1:45" ht="1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row>
    <row r="717" spans="1:45" ht="1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row>
    <row r="718" spans="1:45" ht="1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row>
    <row r="719" spans="1:45" ht="1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row>
    <row r="720" spans="1:45" ht="1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row>
    <row r="721" spans="1:45" ht="1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row>
    <row r="722" spans="1:45" ht="1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row>
    <row r="723" spans="1:45" ht="1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row>
    <row r="724" spans="1:45" ht="1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row>
    <row r="725" spans="1:45" ht="1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row>
    <row r="726" spans="1:45" ht="1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row>
    <row r="727" spans="1:45" ht="1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row>
    <row r="728" spans="1:45" ht="1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row>
    <row r="729" spans="1:45" ht="1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row>
    <row r="730" spans="1:45" ht="1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row>
    <row r="731" spans="1:45" ht="1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row>
    <row r="732" spans="1:45" ht="1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row>
    <row r="733" spans="1:45" ht="1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row>
    <row r="734" spans="1:45" ht="1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row>
    <row r="735" spans="1:45" ht="1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row>
    <row r="736" spans="1:45" ht="1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row>
    <row r="737" spans="1:45" ht="1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row>
    <row r="738" spans="1:45" ht="1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row>
    <row r="739" spans="1:45" ht="1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row>
    <row r="740" spans="1:45" ht="1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row>
    <row r="741" spans="1:45" ht="1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row>
    <row r="742" spans="1:45" ht="1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row>
    <row r="743" spans="1:45" ht="1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row>
    <row r="744" spans="1:45" ht="1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row>
    <row r="745" spans="1:45" ht="1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row>
    <row r="746" spans="1:45" ht="1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row>
    <row r="747" spans="1:45" ht="1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row>
    <row r="748" spans="1:45" ht="1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row>
    <row r="749" spans="1:45" ht="1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row>
    <row r="750" spans="1:45" ht="1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row>
    <row r="751" spans="1:45" ht="1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row>
    <row r="752" spans="1:45" ht="1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row>
    <row r="753" spans="1:45" ht="1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row>
    <row r="754" spans="1:45" ht="1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row>
    <row r="755" spans="1:45" ht="1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row>
    <row r="756" spans="1:45" ht="1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row>
    <row r="757" spans="1:45" ht="1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row>
    <row r="758" spans="1:45" ht="1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row>
    <row r="759" spans="1:45" ht="1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row>
    <row r="760" spans="1:45" ht="1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row>
    <row r="761" spans="1:45" ht="1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row>
    <row r="762" spans="1:45" ht="1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row>
    <row r="763" spans="1:45" ht="1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row>
    <row r="764" spans="1:45" ht="1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row>
    <row r="765" spans="1:45" ht="1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row>
    <row r="766" spans="1:45" ht="1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row>
    <row r="767" spans="1:45" ht="1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row>
    <row r="768" spans="1:45" ht="1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row>
    <row r="769" spans="1:45" ht="1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row>
    <row r="770" spans="1:45" ht="1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row>
    <row r="771" spans="1:45" ht="1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row>
    <row r="772" spans="1:45" ht="1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row>
    <row r="773" spans="1:45" ht="1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row>
    <row r="774" spans="1:45" ht="1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row>
    <row r="775" spans="1:45" ht="1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row>
    <row r="776" spans="1:45" ht="1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row>
    <row r="777" spans="1:45" ht="1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row>
    <row r="778" spans="1:45" ht="1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row>
    <row r="779" spans="1:45" ht="1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row>
    <row r="780" spans="1:45" ht="1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row>
    <row r="781" spans="1:45" ht="1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row>
    <row r="782" spans="1:45" ht="1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row>
    <row r="783" spans="1:45" ht="1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row>
    <row r="784" spans="1:45" ht="1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row>
    <row r="785" spans="1:45" ht="1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row>
    <row r="786" spans="1:45" ht="1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row>
    <row r="787" spans="1:45" ht="1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row>
    <row r="788" spans="1:45" ht="1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row>
    <row r="789" spans="1:45" ht="1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row>
    <row r="790" spans="1:45" ht="1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row>
    <row r="791" spans="1:45" ht="1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row>
    <row r="792" spans="1:45" ht="1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row>
    <row r="793" spans="1:45" ht="1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row>
    <row r="794" spans="1:45" ht="1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row>
    <row r="795" spans="1:45" ht="1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row>
    <row r="796" spans="1:45" ht="1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row>
    <row r="797" spans="1:45" ht="1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row>
    <row r="798" spans="1:45" ht="1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row>
    <row r="799" spans="1:45" ht="1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row>
    <row r="800" spans="1:45" ht="1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row>
    <row r="801" spans="1:45" ht="1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row>
    <row r="802" spans="1:45" ht="1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row>
    <row r="803" spans="1:45" ht="1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row>
    <row r="804" spans="1:45" ht="1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row>
    <row r="805" spans="1:45" ht="1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row>
    <row r="806" spans="1:45" ht="1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row>
    <row r="807" spans="1:45" ht="1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row>
    <row r="808" spans="1:45" ht="1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row>
    <row r="809" spans="1:45" ht="1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row>
    <row r="810" spans="1:45" ht="1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row>
    <row r="811" spans="1:45" ht="1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row>
    <row r="812" spans="1:45" ht="1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row>
    <row r="813" spans="1:45" ht="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row>
    <row r="814" spans="1:45" ht="1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row>
    <row r="815" spans="1:45" ht="1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row>
    <row r="816" spans="1:45" ht="1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row>
    <row r="817" spans="1:45" ht="1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row>
    <row r="818" spans="1:45" ht="1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row>
    <row r="819" spans="1:45" ht="1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row>
    <row r="820" spans="1:45" ht="1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row>
    <row r="821" spans="1:45" ht="1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row>
    <row r="822" spans="1:45" ht="1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row>
    <row r="823" spans="1:45" ht="1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row>
    <row r="824" spans="1:45" ht="1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row>
    <row r="825" spans="1:45" ht="1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row>
    <row r="826" spans="1:45" ht="1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row>
    <row r="827" spans="1:45" ht="1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row>
    <row r="828" spans="1:45" ht="1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row>
    <row r="829" spans="1:45" ht="1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row>
    <row r="830" spans="1:45" ht="1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row>
    <row r="831" spans="1:45" ht="1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row>
    <row r="832" spans="1:45" ht="1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row>
    <row r="833" spans="1:45" ht="1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row>
    <row r="834" spans="1:45" ht="1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row>
    <row r="835" spans="1:45" ht="1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row>
    <row r="836" spans="1:45" ht="1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row>
    <row r="837" spans="1:45" ht="1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row>
    <row r="838" spans="1:45" ht="1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row>
    <row r="839" spans="1:45" ht="1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row>
    <row r="840" spans="1:45" ht="1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row>
    <row r="841" spans="1:45" ht="1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row>
    <row r="842" spans="1:45" ht="1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row>
    <row r="843" spans="1:45" ht="1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row>
    <row r="844" spans="1:45" ht="1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row>
    <row r="845" spans="1:45" ht="1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row>
    <row r="846" spans="1:45" ht="1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row>
    <row r="847" spans="1:45" ht="1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row>
    <row r="848" spans="1:45" ht="1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row>
    <row r="849" spans="1:45" ht="1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row>
    <row r="850" spans="1:45" ht="1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row>
    <row r="851" spans="1:45" ht="1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row>
    <row r="852" spans="1:45" ht="1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row>
    <row r="853" spans="1:45" ht="1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row>
    <row r="854" spans="1:45" ht="1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row>
    <row r="855" spans="1:45" ht="1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row>
    <row r="856" spans="1:45" ht="1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row>
    <row r="857" spans="1:45" ht="1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row>
    <row r="858" spans="1:45" ht="1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row>
    <row r="859" spans="1:45" ht="1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row>
    <row r="860" spans="1:45" ht="1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row>
    <row r="861" spans="1:45" ht="1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row>
    <row r="862" spans="1:45" ht="1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row>
    <row r="863" spans="1:45" ht="1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row>
    <row r="864" spans="1:45" ht="1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row>
    <row r="865" spans="1:45" ht="1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row>
    <row r="866" spans="1:45" ht="1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row>
    <row r="867" spans="1:45" ht="1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row>
    <row r="868" spans="1:45" ht="1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row>
    <row r="869" spans="1:45" ht="1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row>
    <row r="870" spans="1:45" ht="1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row>
    <row r="871" spans="1:45" ht="1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row>
    <row r="872" spans="1:45" ht="1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row>
    <row r="873" spans="1:45" ht="1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row>
    <row r="874" spans="1:45" ht="1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row>
    <row r="875" spans="1:45" ht="1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row>
    <row r="876" spans="1:45" ht="1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row>
    <row r="877" spans="1:45" ht="1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row>
    <row r="878" spans="1:45" ht="1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row>
    <row r="879" spans="1:45" ht="1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row>
    <row r="880" spans="1:45" ht="1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row>
    <row r="881" spans="1:45" ht="1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row>
    <row r="882" spans="1:45" ht="1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row>
    <row r="883" spans="1:45" ht="1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row>
    <row r="884" spans="1:45" ht="1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row>
    <row r="885" spans="1:45" ht="1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row>
    <row r="886" spans="1:45" ht="1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row>
    <row r="887" spans="1:45" ht="1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row>
    <row r="888" spans="1:45" ht="1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row>
    <row r="889" spans="1:45" ht="1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row>
    <row r="890" spans="1:45" ht="1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row>
    <row r="891" spans="1:45" ht="1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row>
    <row r="892" spans="1:45" ht="1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row>
    <row r="893" spans="1:45" ht="1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row>
    <row r="894" spans="1:45" ht="1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row>
    <row r="895" spans="1:45" ht="1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row>
    <row r="896" spans="1:45" ht="1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row>
    <row r="897" spans="1:45" ht="1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row>
    <row r="898" spans="1:45" ht="1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row>
    <row r="899" spans="1:45" ht="1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row>
    <row r="900" spans="1:45" ht="1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row>
    <row r="901" spans="1:45" ht="1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row>
    <row r="902" spans="1:45" ht="1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row>
    <row r="903" spans="1:45" ht="1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row>
    <row r="904" spans="1:45" ht="1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row>
    <row r="905" spans="1:45" ht="1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row>
    <row r="906" spans="1:45" ht="1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row>
    <row r="907" spans="1:45" ht="1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row>
    <row r="908" spans="1:45" ht="1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row>
    <row r="909" spans="1:45" ht="1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row>
    <row r="910" spans="1:45" ht="1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row>
    <row r="911" spans="1:45" ht="1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row>
    <row r="912" spans="1:45" ht="1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row>
    <row r="913" spans="1:45" ht="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row>
    <row r="914" spans="1:45" ht="1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row>
    <row r="915" spans="1:45" ht="1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row>
    <row r="916" spans="1:45" ht="1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row>
    <row r="917" spans="1:45" ht="1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row>
    <row r="918" spans="1:45" ht="1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row>
    <row r="919" spans="1:45" ht="1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row>
    <row r="920" spans="1:45" ht="1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row>
    <row r="921" spans="1:45" ht="1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row>
    <row r="922" spans="1:45" ht="1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row>
    <row r="923" spans="1:45" ht="1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row>
    <row r="924" spans="1:45" ht="1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row>
    <row r="925" spans="1:45" ht="1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row>
    <row r="926" spans="1:45" ht="1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row>
    <row r="927" spans="1:45" ht="1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row>
    <row r="928" spans="1:45" ht="1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row>
    <row r="929" spans="1:45" ht="1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row>
    <row r="930" spans="1:45" ht="1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row>
    <row r="931" spans="1:45" ht="1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row>
    <row r="932" spans="1:45" ht="1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row>
    <row r="933" spans="1:45" ht="1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row>
    <row r="934" spans="1:45" ht="1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row>
    <row r="935" spans="1:45" ht="1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row>
    <row r="936" spans="1:45" ht="1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row>
    <row r="937" spans="1:45" ht="1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row>
    <row r="938" spans="1:45" ht="1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row>
    <row r="939" spans="1:45" ht="1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row>
    <row r="940" spans="1:45" ht="1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row>
    <row r="941" spans="1:45" ht="1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row>
    <row r="942" spans="1:45" ht="1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row>
    <row r="943" spans="1:45" ht="1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row>
    <row r="944" spans="1:45" ht="1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row>
    <row r="945" spans="1:45" ht="1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row>
    <row r="946" spans="1:45" ht="1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row>
    <row r="947" spans="1:45" ht="1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row>
    <row r="948" spans="1:45" ht="1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row>
    <row r="949" spans="1:45" ht="1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row>
    <row r="950" spans="1:45" ht="1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row>
    <row r="951" spans="1:45" ht="1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row>
    <row r="952" spans="1:45" ht="1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row>
    <row r="953" spans="1:45" ht="1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row>
    <row r="954" spans="1:45" ht="1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row>
    <row r="955" spans="1:45" ht="1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row>
    <row r="956" spans="1:45" ht="1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row>
    <row r="957" spans="1:45" ht="1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row>
    <row r="958" spans="1:45" ht="1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row>
    <row r="959" spans="1:45" ht="1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row>
    <row r="960" spans="1:45" ht="1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row>
    <row r="961" spans="1:45" ht="1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row>
    <row r="962" spans="1:45" ht="1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row>
    <row r="963" spans="1:45" ht="1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row>
    <row r="964" spans="1:45" ht="1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row>
    <row r="965" spans="1:45" ht="1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row>
    <row r="966" spans="1:45" ht="1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row>
    <row r="967" spans="1:45" ht="1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row>
    <row r="968" spans="1:45" ht="1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row>
    <row r="969" spans="1:45" ht="1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row>
    <row r="970" spans="1:45" ht="1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row>
    <row r="971" spans="1:45" ht="1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row>
    <row r="972" spans="1:45" ht="1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row>
    <row r="973" spans="1:45" ht="1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row>
    <row r="974" spans="1:45" ht="1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row>
    <row r="975" spans="1:45" ht="1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row>
    <row r="976" spans="1:45" ht="1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row>
    <row r="977" spans="1:45" ht="1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row>
    <row r="978" spans="1:45" ht="1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row>
    <row r="979" spans="1:45" ht="1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row>
    <row r="980" spans="1:45" ht="1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row>
    <row r="981" spans="1:45" ht="1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row>
    <row r="982" spans="1:45" ht="1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row>
    <row r="983" spans="1:45" ht="1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row>
    <row r="984" spans="1:45" ht="1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row>
    <row r="985" spans="1:45" ht="1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row>
    <row r="986" spans="1:45" ht="1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row>
    <row r="987" spans="1:45" ht="1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row>
    <row r="988" spans="1:45" ht="1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row>
    <row r="989" spans="1:45" ht="1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row>
    <row r="990" spans="1:45" ht="1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row>
    <row r="991" spans="1:45" ht="1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row>
    <row r="992" spans="1:45" ht="1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row>
    <row r="993" spans="1:45" ht="1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row>
    <row r="994" spans="1:45" ht="1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row>
    <row r="995" spans="1:45" ht="1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row>
    <row r="996" spans="1:45" ht="1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row>
    <row r="997" spans="1:45" ht="1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row>
    <row r="998" spans="1:45" ht="1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row>
    <row r="999" spans="1:45" ht="1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row>
    <row r="1000" spans="1:45" ht="1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row>
    <row r="1001" spans="1:45" ht="13">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row>
    <row r="1002" spans="1:45" ht="13">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row>
    <row r="1003" spans="1:45" ht="1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row>
    <row r="1004" spans="1:45" ht="13">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row>
    <row r="1005" spans="1:45" ht="13">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row>
    <row r="1006" spans="1:45" ht="13">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row>
    <row r="1007" spans="1:45" ht="13">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row>
    <row r="1008" spans="1:45" ht="13">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row>
    <row r="1009" spans="1:45" ht="13">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c r="AO1009" s="10"/>
      <c r="AP1009" s="10"/>
      <c r="AQ1009" s="10"/>
      <c r="AR1009" s="10"/>
      <c r="AS1009" s="10"/>
    </row>
    <row r="1010" spans="1:45" ht="13">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c r="AN1010" s="10"/>
      <c r="AO1010" s="10"/>
      <c r="AP1010" s="10"/>
      <c r="AQ1010" s="10"/>
      <c r="AR1010" s="10"/>
      <c r="AS1010" s="10"/>
    </row>
    <row r="1011" spans="1:45" ht="13">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c r="AO1011" s="10"/>
      <c r="AP1011" s="10"/>
      <c r="AQ1011" s="10"/>
      <c r="AR1011" s="10"/>
      <c r="AS1011" s="10"/>
    </row>
    <row r="1012" spans="1:45" ht="13">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c r="AN1012" s="10"/>
      <c r="AO1012" s="10"/>
      <c r="AP1012" s="10"/>
      <c r="AQ1012" s="10"/>
      <c r="AR1012" s="10"/>
      <c r="AS1012" s="10"/>
    </row>
    <row r="1013" spans="1:45" ht="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c r="AQ1013" s="10"/>
      <c r="AR1013" s="10"/>
      <c r="AS1013" s="10"/>
    </row>
    <row r="1014" spans="1:45" ht="13">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c r="AN1014" s="10"/>
      <c r="AO1014" s="10"/>
      <c r="AP1014" s="10"/>
      <c r="AQ1014" s="10"/>
      <c r="AR1014" s="10"/>
      <c r="AS1014" s="10"/>
    </row>
    <row r="1015" spans="1:45" ht="13">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c r="AO1015" s="10"/>
      <c r="AP1015" s="10"/>
      <c r="AQ1015" s="10"/>
      <c r="AR1015" s="10"/>
      <c r="AS1015" s="10"/>
    </row>
    <row r="1016" spans="1:45" ht="13">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c r="AK1016" s="10"/>
      <c r="AL1016" s="10"/>
      <c r="AM1016" s="10"/>
      <c r="AN1016" s="10"/>
      <c r="AO1016" s="10"/>
      <c r="AP1016" s="10"/>
      <c r="AQ1016" s="10"/>
      <c r="AR1016" s="10"/>
      <c r="AS1016" s="10"/>
    </row>
    <row r="1017" spans="1:45" ht="13">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c r="AO1017" s="10"/>
      <c r="AP1017" s="10"/>
      <c r="AQ1017" s="10"/>
      <c r="AR1017" s="10"/>
      <c r="AS1017" s="10"/>
    </row>
    <row r="1018" spans="1:45" ht="13">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c r="AN1018" s="10"/>
      <c r="AO1018" s="10"/>
      <c r="AP1018" s="10"/>
      <c r="AQ1018" s="10"/>
      <c r="AR1018" s="10"/>
      <c r="AS1018" s="10"/>
    </row>
    <row r="1019" spans="1:45" ht="13">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c r="AK1019" s="10"/>
      <c r="AL1019" s="10"/>
      <c r="AM1019" s="10"/>
      <c r="AN1019" s="10"/>
      <c r="AO1019" s="10"/>
      <c r="AP1019" s="10"/>
      <c r="AQ1019" s="10"/>
      <c r="AR1019" s="10"/>
      <c r="AS1019" s="10"/>
    </row>
    <row r="1020" spans="1:45" ht="13">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c r="AK1020" s="10"/>
      <c r="AL1020" s="10"/>
      <c r="AM1020" s="10"/>
      <c r="AN1020" s="10"/>
      <c r="AO1020" s="10"/>
      <c r="AP1020" s="10"/>
      <c r="AQ1020" s="10"/>
      <c r="AR1020" s="10"/>
      <c r="AS1020" s="10"/>
    </row>
    <row r="1021" spans="1:45" ht="13">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c r="AO1021" s="10"/>
      <c r="AP1021" s="10"/>
      <c r="AQ1021" s="10"/>
      <c r="AR1021" s="10"/>
      <c r="AS1021" s="10"/>
    </row>
    <row r="1022" spans="1:45" ht="13">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0"/>
      <c r="AP1022" s="10"/>
      <c r="AQ1022" s="10"/>
      <c r="AR1022" s="10"/>
      <c r="AS1022" s="10"/>
    </row>
    <row r="1023" spans="1:45" ht="1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0"/>
      <c r="AP1023" s="10"/>
      <c r="AQ1023" s="10"/>
      <c r="AR1023" s="10"/>
      <c r="AS1023" s="10"/>
    </row>
    <row r="1024" spans="1:45" ht="13">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0"/>
      <c r="AP1024" s="10"/>
      <c r="AQ1024" s="10"/>
      <c r="AR1024" s="10"/>
      <c r="AS1024" s="10"/>
    </row>
    <row r="1025" spans="1:45" ht="13">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c r="AO1025" s="10"/>
      <c r="AP1025" s="10"/>
      <c r="AQ1025" s="10"/>
      <c r="AR1025" s="10"/>
      <c r="AS1025" s="10"/>
    </row>
    <row r="1026" spans="1:45" ht="13">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c r="AK1026" s="10"/>
      <c r="AL1026" s="10"/>
      <c r="AM1026" s="10"/>
      <c r="AN1026" s="10"/>
      <c r="AO1026" s="10"/>
      <c r="AP1026" s="10"/>
      <c r="AQ1026" s="10"/>
      <c r="AR1026" s="10"/>
      <c r="AS1026" s="10"/>
    </row>
    <row r="1027" spans="1:45" ht="13">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c r="AO1027" s="10"/>
      <c r="AP1027" s="10"/>
      <c r="AQ1027" s="10"/>
      <c r="AR1027" s="10"/>
      <c r="AS1027" s="10"/>
    </row>
    <row r="1028" spans="1:45" ht="13">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c r="AK1028" s="10"/>
      <c r="AL1028" s="10"/>
      <c r="AM1028" s="10"/>
      <c r="AN1028" s="10"/>
      <c r="AO1028" s="10"/>
      <c r="AP1028" s="10"/>
      <c r="AQ1028" s="10"/>
      <c r="AR1028" s="10"/>
      <c r="AS1028" s="10"/>
    </row>
    <row r="1029" spans="1:45" ht="13">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c r="AO1029" s="10"/>
      <c r="AP1029" s="10"/>
      <c r="AQ1029" s="10"/>
      <c r="AR1029" s="10"/>
      <c r="AS1029" s="10"/>
    </row>
    <row r="1030" spans="1:45" ht="13">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c r="AN1030" s="10"/>
      <c r="AO1030" s="10"/>
      <c r="AP1030" s="10"/>
      <c r="AQ1030" s="10"/>
      <c r="AR1030" s="10"/>
      <c r="AS1030" s="10"/>
    </row>
    <row r="1031" spans="1:45" ht="13">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0"/>
      <c r="AP1031" s="10"/>
      <c r="AQ1031" s="10"/>
      <c r="AR1031" s="10"/>
      <c r="AS1031" s="10"/>
    </row>
    <row r="1032" spans="1:45" ht="13">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c r="AO1032" s="10"/>
      <c r="AP1032" s="10"/>
      <c r="AQ1032" s="10"/>
      <c r="AR1032" s="10"/>
      <c r="AS1032" s="10"/>
    </row>
    <row r="1033" spans="1:45" ht="13">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c r="AO1033" s="10"/>
      <c r="AP1033" s="10"/>
      <c r="AQ1033" s="10"/>
      <c r="AR1033" s="10"/>
      <c r="AS1033" s="10"/>
    </row>
    <row r="1034" spans="1:45" ht="13">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c r="AN1034" s="10"/>
      <c r="AO1034" s="10"/>
      <c r="AP1034" s="10"/>
      <c r="AQ1034" s="10"/>
      <c r="AR1034" s="10"/>
      <c r="AS1034" s="10"/>
    </row>
    <row r="1035" spans="1:45" ht="13">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c r="AO1035" s="10"/>
      <c r="AP1035" s="10"/>
      <c r="AQ1035" s="10"/>
      <c r="AR1035" s="10"/>
      <c r="AS1035" s="10"/>
    </row>
    <row r="1036" spans="1:45" ht="13">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c r="AJ1036" s="10"/>
      <c r="AK1036" s="10"/>
      <c r="AL1036" s="10"/>
      <c r="AM1036" s="10"/>
      <c r="AN1036" s="10"/>
      <c r="AO1036" s="10"/>
      <c r="AP1036" s="10"/>
      <c r="AQ1036" s="10"/>
      <c r="AR1036" s="10"/>
      <c r="AS1036" s="10"/>
    </row>
    <row r="1037" spans="1:45" ht="13">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c r="AK1037" s="10"/>
      <c r="AL1037" s="10"/>
      <c r="AM1037" s="10"/>
      <c r="AN1037" s="10"/>
      <c r="AO1037" s="10"/>
      <c r="AP1037" s="10"/>
      <c r="AQ1037" s="10"/>
      <c r="AR1037" s="10"/>
      <c r="AS1037" s="10"/>
    </row>
    <row r="1038" spans="1:45" ht="13">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c r="AJ1038" s="10"/>
      <c r="AK1038" s="10"/>
      <c r="AL1038" s="10"/>
      <c r="AM1038" s="10"/>
      <c r="AN1038" s="10"/>
      <c r="AO1038" s="10"/>
      <c r="AP1038" s="10"/>
      <c r="AQ1038" s="10"/>
      <c r="AR1038" s="10"/>
      <c r="AS1038" s="10"/>
    </row>
    <row r="1039" spans="1:45" ht="13">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c r="AB1039" s="10"/>
      <c r="AC1039" s="10"/>
      <c r="AD1039" s="10"/>
      <c r="AE1039" s="10"/>
      <c r="AF1039" s="10"/>
      <c r="AG1039" s="10"/>
      <c r="AH1039" s="10"/>
      <c r="AI1039" s="10"/>
      <c r="AJ1039" s="10"/>
      <c r="AK1039" s="10"/>
      <c r="AL1039" s="10"/>
      <c r="AM1039" s="10"/>
      <c r="AN1039" s="10"/>
      <c r="AO1039" s="10"/>
      <c r="AP1039" s="10"/>
      <c r="AQ1039" s="10"/>
      <c r="AR1039" s="10"/>
      <c r="AS1039" s="10"/>
    </row>
    <row r="1040" spans="1:45" ht="13">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10"/>
      <c r="AJ1040" s="10"/>
      <c r="AK1040" s="10"/>
      <c r="AL1040" s="10"/>
      <c r="AM1040" s="10"/>
      <c r="AN1040" s="10"/>
      <c r="AO1040" s="10"/>
      <c r="AP1040" s="10"/>
      <c r="AQ1040" s="10"/>
      <c r="AR1040" s="10"/>
      <c r="AS1040" s="10"/>
    </row>
    <row r="1041" spans="1:45" ht="13">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c r="AB1041" s="10"/>
      <c r="AC1041" s="10"/>
      <c r="AD1041" s="10"/>
      <c r="AE1041" s="10"/>
      <c r="AF1041" s="10"/>
      <c r="AG1041" s="10"/>
      <c r="AH1041" s="10"/>
      <c r="AI1041" s="10"/>
      <c r="AJ1041" s="10"/>
      <c r="AK1041" s="10"/>
      <c r="AL1041" s="10"/>
      <c r="AM1041" s="10"/>
      <c r="AN1041" s="10"/>
      <c r="AO1041" s="10"/>
      <c r="AP1041" s="10"/>
      <c r="AQ1041" s="10"/>
      <c r="AR1041" s="10"/>
      <c r="AS1041" s="10"/>
    </row>
    <row r="1042" spans="1:45" ht="13">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c r="AB1042" s="10"/>
      <c r="AC1042" s="10"/>
      <c r="AD1042" s="10"/>
      <c r="AE1042" s="10"/>
      <c r="AF1042" s="10"/>
      <c r="AG1042" s="10"/>
      <c r="AH1042" s="10"/>
      <c r="AI1042" s="10"/>
      <c r="AJ1042" s="10"/>
      <c r="AK1042" s="10"/>
      <c r="AL1042" s="10"/>
      <c r="AM1042" s="10"/>
      <c r="AN1042" s="10"/>
      <c r="AO1042" s="10"/>
      <c r="AP1042" s="10"/>
      <c r="AQ1042" s="10"/>
      <c r="AR1042" s="10"/>
      <c r="AS1042" s="10"/>
    </row>
    <row r="1043" spans="1:45" ht="13">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c r="AB1043" s="10"/>
      <c r="AC1043" s="10"/>
      <c r="AD1043" s="10"/>
      <c r="AE1043" s="10"/>
      <c r="AF1043" s="10"/>
      <c r="AG1043" s="10"/>
      <c r="AH1043" s="10"/>
      <c r="AI1043" s="10"/>
      <c r="AJ1043" s="10"/>
      <c r="AK1043" s="10"/>
      <c r="AL1043" s="10"/>
      <c r="AM1043" s="10"/>
      <c r="AN1043" s="10"/>
      <c r="AO1043" s="10"/>
      <c r="AP1043" s="10"/>
      <c r="AQ1043" s="10"/>
      <c r="AR1043" s="10"/>
      <c r="AS1043" s="10"/>
    </row>
    <row r="1044" spans="1:45" ht="13">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c r="AB1044" s="10"/>
      <c r="AC1044" s="10"/>
      <c r="AD1044" s="10"/>
      <c r="AE1044" s="10"/>
      <c r="AF1044" s="10"/>
      <c r="AG1044" s="10"/>
      <c r="AH1044" s="10"/>
      <c r="AI1044" s="10"/>
      <c r="AJ1044" s="10"/>
      <c r="AK1044" s="10"/>
      <c r="AL1044" s="10"/>
      <c r="AM1044" s="10"/>
      <c r="AN1044" s="10"/>
      <c r="AO1044" s="10"/>
      <c r="AP1044" s="10"/>
      <c r="AQ1044" s="10"/>
      <c r="AR1044" s="10"/>
      <c r="AS1044" s="10"/>
    </row>
    <row r="1045" spans="1:45" ht="13">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c r="AB1045" s="10"/>
      <c r="AC1045" s="10"/>
      <c r="AD1045" s="10"/>
      <c r="AE1045" s="10"/>
      <c r="AF1045" s="10"/>
      <c r="AG1045" s="10"/>
      <c r="AH1045" s="10"/>
      <c r="AI1045" s="10"/>
      <c r="AJ1045" s="10"/>
      <c r="AK1045" s="10"/>
      <c r="AL1045" s="10"/>
      <c r="AM1045" s="10"/>
      <c r="AN1045" s="10"/>
      <c r="AO1045" s="10"/>
      <c r="AP1045" s="10"/>
      <c r="AQ1045" s="10"/>
      <c r="AR1045" s="10"/>
      <c r="AS1045" s="10"/>
    </row>
    <row r="1046" spans="1:45" ht="13">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c r="AB1046" s="10"/>
      <c r="AC1046" s="10"/>
      <c r="AD1046" s="10"/>
      <c r="AE1046" s="10"/>
      <c r="AF1046" s="10"/>
      <c r="AG1046" s="10"/>
      <c r="AH1046" s="10"/>
      <c r="AI1046" s="10"/>
      <c r="AJ1046" s="10"/>
      <c r="AK1046" s="10"/>
      <c r="AL1046" s="10"/>
      <c r="AM1046" s="10"/>
      <c r="AN1046" s="10"/>
      <c r="AO1046" s="10"/>
      <c r="AP1046" s="10"/>
      <c r="AQ1046" s="10"/>
      <c r="AR1046" s="10"/>
      <c r="AS1046" s="10"/>
    </row>
    <row r="1047" spans="1:45" ht="13">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c r="AJ1047" s="10"/>
      <c r="AK1047" s="10"/>
      <c r="AL1047" s="10"/>
      <c r="AM1047" s="10"/>
      <c r="AN1047" s="10"/>
      <c r="AO1047" s="10"/>
      <c r="AP1047" s="10"/>
      <c r="AQ1047" s="10"/>
      <c r="AR1047" s="10"/>
      <c r="AS1047" s="10"/>
    </row>
    <row r="1048" spans="1:45" ht="13">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c r="AB1048" s="10"/>
      <c r="AC1048" s="10"/>
      <c r="AD1048" s="10"/>
      <c r="AE1048" s="10"/>
      <c r="AF1048" s="10"/>
      <c r="AG1048" s="10"/>
      <c r="AH1048" s="10"/>
      <c r="AI1048" s="10"/>
      <c r="AJ1048" s="10"/>
      <c r="AK1048" s="10"/>
      <c r="AL1048" s="10"/>
      <c r="AM1048" s="10"/>
      <c r="AN1048" s="10"/>
      <c r="AO1048" s="10"/>
      <c r="AP1048" s="10"/>
      <c r="AQ1048" s="10"/>
      <c r="AR1048" s="10"/>
      <c r="AS1048" s="10"/>
    </row>
    <row r="1049" spans="1:45" ht="13">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c r="AB1049" s="10"/>
      <c r="AC1049" s="10"/>
      <c r="AD1049" s="10"/>
      <c r="AE1049" s="10"/>
      <c r="AF1049" s="10"/>
      <c r="AG1049" s="10"/>
      <c r="AH1049" s="10"/>
      <c r="AI1049" s="10"/>
      <c r="AJ1049" s="10"/>
      <c r="AK1049" s="10"/>
      <c r="AL1049" s="10"/>
      <c r="AM1049" s="10"/>
      <c r="AN1049" s="10"/>
      <c r="AO1049" s="10"/>
      <c r="AP1049" s="10"/>
      <c r="AQ1049" s="10"/>
      <c r="AR1049" s="10"/>
      <c r="AS1049" s="10"/>
    </row>
    <row r="1050" spans="1:45" ht="13">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c r="AB1050" s="10"/>
      <c r="AC1050" s="10"/>
      <c r="AD1050" s="10"/>
      <c r="AE1050" s="10"/>
      <c r="AF1050" s="10"/>
      <c r="AG1050" s="10"/>
      <c r="AH1050" s="10"/>
      <c r="AI1050" s="10"/>
      <c r="AJ1050" s="10"/>
      <c r="AK1050" s="10"/>
      <c r="AL1050" s="10"/>
      <c r="AM1050" s="10"/>
      <c r="AN1050" s="10"/>
      <c r="AO1050" s="10"/>
      <c r="AP1050" s="10"/>
      <c r="AQ1050" s="10"/>
      <c r="AR1050" s="10"/>
      <c r="AS1050" s="10"/>
    </row>
    <row r="1051" spans="1:45" ht="13">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c r="AB1051" s="10"/>
      <c r="AC1051" s="10"/>
      <c r="AD1051" s="10"/>
      <c r="AE1051" s="10"/>
      <c r="AF1051" s="10"/>
      <c r="AG1051" s="10"/>
      <c r="AH1051" s="10"/>
      <c r="AI1051" s="10"/>
      <c r="AJ1051" s="10"/>
      <c r="AK1051" s="10"/>
      <c r="AL1051" s="10"/>
      <c r="AM1051" s="10"/>
      <c r="AN1051" s="10"/>
      <c r="AO1051" s="10"/>
      <c r="AP1051" s="10"/>
      <c r="AQ1051" s="10"/>
      <c r="AR1051" s="10"/>
      <c r="AS1051" s="10"/>
    </row>
    <row r="1052" spans="1:45" ht="13">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c r="AB1052" s="10"/>
      <c r="AC1052" s="10"/>
      <c r="AD1052" s="10"/>
      <c r="AE1052" s="10"/>
      <c r="AF1052" s="10"/>
      <c r="AG1052" s="10"/>
      <c r="AH1052" s="10"/>
      <c r="AI1052" s="10"/>
      <c r="AJ1052" s="10"/>
      <c r="AK1052" s="10"/>
      <c r="AL1052" s="10"/>
      <c r="AM1052" s="10"/>
      <c r="AN1052" s="10"/>
      <c r="AO1052" s="10"/>
      <c r="AP1052" s="10"/>
      <c r="AQ1052" s="10"/>
      <c r="AR1052" s="10"/>
      <c r="AS1052" s="10"/>
    </row>
    <row r="1053" spans="1:45" ht="13">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c r="AK1053" s="10"/>
      <c r="AL1053" s="10"/>
      <c r="AM1053" s="10"/>
      <c r="AN1053" s="10"/>
      <c r="AO1053" s="10"/>
      <c r="AP1053" s="10"/>
      <c r="AQ1053" s="10"/>
      <c r="AR1053" s="10"/>
      <c r="AS1053" s="10"/>
    </row>
    <row r="1054" spans="1:45" ht="13">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c r="AB1054" s="10"/>
      <c r="AC1054" s="10"/>
      <c r="AD1054" s="10"/>
      <c r="AE1054" s="10"/>
      <c r="AF1054" s="10"/>
      <c r="AG1054" s="10"/>
      <c r="AH1054" s="10"/>
      <c r="AI1054" s="10"/>
      <c r="AJ1054" s="10"/>
      <c r="AK1054" s="10"/>
      <c r="AL1054" s="10"/>
      <c r="AM1054" s="10"/>
      <c r="AN1054" s="10"/>
      <c r="AO1054" s="10"/>
      <c r="AP1054" s="10"/>
      <c r="AQ1054" s="10"/>
      <c r="AR1054" s="10"/>
      <c r="AS1054" s="10"/>
    </row>
    <row r="1055" spans="1:45" ht="13">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c r="AB1055" s="10"/>
      <c r="AC1055" s="10"/>
      <c r="AD1055" s="10"/>
      <c r="AE1055" s="10"/>
      <c r="AF1055" s="10"/>
      <c r="AG1055" s="10"/>
      <c r="AH1055" s="10"/>
      <c r="AI1055" s="10"/>
      <c r="AJ1055" s="10"/>
      <c r="AK1055" s="10"/>
      <c r="AL1055" s="10"/>
      <c r="AM1055" s="10"/>
      <c r="AN1055" s="10"/>
      <c r="AO1055" s="10"/>
      <c r="AP1055" s="10"/>
      <c r="AQ1055" s="10"/>
      <c r="AR1055" s="10"/>
      <c r="AS1055" s="10"/>
    </row>
    <row r="1056" spans="1:45" ht="13">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c r="AB1056" s="10"/>
      <c r="AC1056" s="10"/>
      <c r="AD1056" s="10"/>
      <c r="AE1056" s="10"/>
      <c r="AF1056" s="10"/>
      <c r="AG1056" s="10"/>
      <c r="AH1056" s="10"/>
      <c r="AI1056" s="10"/>
      <c r="AJ1056" s="10"/>
      <c r="AK1056" s="10"/>
      <c r="AL1056" s="10"/>
      <c r="AM1056" s="10"/>
      <c r="AN1056" s="10"/>
      <c r="AO1056" s="10"/>
      <c r="AP1056" s="10"/>
      <c r="AQ1056" s="10"/>
      <c r="AR1056" s="10"/>
      <c r="AS1056" s="10"/>
    </row>
    <row r="1057" spans="1:45" ht="13">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c r="AB1057" s="10"/>
      <c r="AC1057" s="10"/>
      <c r="AD1057" s="10"/>
      <c r="AE1057" s="10"/>
      <c r="AF1057" s="10"/>
      <c r="AG1057" s="10"/>
      <c r="AH1057" s="10"/>
      <c r="AI1057" s="10"/>
      <c r="AJ1057" s="10"/>
      <c r="AK1057" s="10"/>
      <c r="AL1057" s="10"/>
      <c r="AM1057" s="10"/>
      <c r="AN1057" s="10"/>
      <c r="AO1057" s="10"/>
      <c r="AP1057" s="10"/>
      <c r="AQ1057" s="10"/>
      <c r="AR1057" s="10"/>
      <c r="AS1057" s="10"/>
    </row>
    <row r="1058" spans="1:45" ht="13">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c r="AK1058" s="10"/>
      <c r="AL1058" s="10"/>
      <c r="AM1058" s="10"/>
      <c r="AN1058" s="10"/>
      <c r="AO1058" s="10"/>
      <c r="AP1058" s="10"/>
      <c r="AQ1058" s="10"/>
      <c r="AR1058" s="10"/>
      <c r="AS1058" s="10"/>
    </row>
    <row r="1059" spans="1:45" ht="13">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c r="AK1059" s="10"/>
      <c r="AL1059" s="10"/>
      <c r="AM1059" s="10"/>
      <c r="AN1059" s="10"/>
      <c r="AO1059" s="10"/>
      <c r="AP1059" s="10"/>
      <c r="AQ1059" s="10"/>
      <c r="AR1059" s="10"/>
      <c r="AS1059" s="10"/>
    </row>
    <row r="1060" spans="1:45" ht="13">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c r="AB1060" s="10"/>
      <c r="AC1060" s="10"/>
      <c r="AD1060" s="10"/>
      <c r="AE1060" s="10"/>
      <c r="AF1060" s="10"/>
      <c r="AG1060" s="10"/>
      <c r="AH1060" s="10"/>
      <c r="AI1060" s="10"/>
      <c r="AJ1060" s="10"/>
      <c r="AK1060" s="10"/>
      <c r="AL1060" s="10"/>
      <c r="AM1060" s="10"/>
      <c r="AN1060" s="10"/>
      <c r="AO1060" s="10"/>
      <c r="AP1060" s="10"/>
      <c r="AQ1060" s="10"/>
      <c r="AR1060" s="10"/>
      <c r="AS1060" s="10"/>
    </row>
    <row r="1061" spans="1:45" ht="13">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c r="AB1061" s="10"/>
      <c r="AC1061" s="10"/>
      <c r="AD1061" s="10"/>
      <c r="AE1061" s="10"/>
      <c r="AF1061" s="10"/>
      <c r="AG1061" s="10"/>
      <c r="AH1061" s="10"/>
      <c r="AI1061" s="10"/>
      <c r="AJ1061" s="10"/>
      <c r="AK1061" s="10"/>
      <c r="AL1061" s="10"/>
      <c r="AM1061" s="10"/>
      <c r="AN1061" s="10"/>
      <c r="AO1061" s="10"/>
      <c r="AP1061" s="10"/>
      <c r="AQ1061" s="10"/>
      <c r="AR1061" s="10"/>
      <c r="AS1061" s="10"/>
    </row>
    <row r="1062" spans="1:45" ht="13">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c r="AK1062" s="10"/>
      <c r="AL1062" s="10"/>
      <c r="AM1062" s="10"/>
      <c r="AN1062" s="10"/>
      <c r="AO1062" s="10"/>
      <c r="AP1062" s="10"/>
      <c r="AQ1062" s="10"/>
      <c r="AR1062" s="10"/>
      <c r="AS1062" s="10"/>
    </row>
    <row r="1063" spans="1:45" ht="13">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c r="AB1063" s="10"/>
      <c r="AC1063" s="10"/>
      <c r="AD1063" s="10"/>
      <c r="AE1063" s="10"/>
      <c r="AF1063" s="10"/>
      <c r="AG1063" s="10"/>
      <c r="AH1063" s="10"/>
      <c r="AI1063" s="10"/>
      <c r="AJ1063" s="10"/>
      <c r="AK1063" s="10"/>
      <c r="AL1063" s="10"/>
      <c r="AM1063" s="10"/>
      <c r="AN1063" s="10"/>
      <c r="AO1063" s="10"/>
      <c r="AP1063" s="10"/>
      <c r="AQ1063" s="10"/>
      <c r="AR1063" s="10"/>
      <c r="AS1063" s="10"/>
    </row>
    <row r="1064" spans="1:45" ht="13">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c r="AB1064" s="10"/>
      <c r="AC1064" s="10"/>
      <c r="AD1064" s="10"/>
      <c r="AE1064" s="10"/>
      <c r="AF1064" s="10"/>
      <c r="AG1064" s="10"/>
      <c r="AH1064" s="10"/>
      <c r="AI1064" s="10"/>
      <c r="AJ1064" s="10"/>
      <c r="AK1064" s="10"/>
      <c r="AL1064" s="10"/>
      <c r="AM1064" s="10"/>
      <c r="AN1064" s="10"/>
      <c r="AO1064" s="10"/>
      <c r="AP1064" s="10"/>
      <c r="AQ1064" s="10"/>
      <c r="AR1064" s="10"/>
      <c r="AS1064" s="10"/>
    </row>
    <row r="1065" spans="1:45" ht="13">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c r="AB1065" s="10"/>
      <c r="AC1065" s="10"/>
      <c r="AD1065" s="10"/>
      <c r="AE1065" s="10"/>
      <c r="AF1065" s="10"/>
      <c r="AG1065" s="10"/>
      <c r="AH1065" s="10"/>
      <c r="AI1065" s="10"/>
      <c r="AJ1065" s="10"/>
      <c r="AK1065" s="10"/>
      <c r="AL1065" s="10"/>
      <c r="AM1065" s="10"/>
      <c r="AN1065" s="10"/>
      <c r="AO1065" s="10"/>
      <c r="AP1065" s="10"/>
      <c r="AQ1065" s="10"/>
      <c r="AR1065" s="10"/>
      <c r="AS1065" s="10"/>
    </row>
    <row r="1066" spans="1:45" ht="13">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c r="AB1066" s="10"/>
      <c r="AC1066" s="10"/>
      <c r="AD1066" s="10"/>
      <c r="AE1066" s="10"/>
      <c r="AF1066" s="10"/>
      <c r="AG1066" s="10"/>
      <c r="AH1066" s="10"/>
      <c r="AI1066" s="10"/>
      <c r="AJ1066" s="10"/>
      <c r="AK1066" s="10"/>
      <c r="AL1066" s="10"/>
      <c r="AM1066" s="10"/>
      <c r="AN1066" s="10"/>
      <c r="AO1066" s="10"/>
      <c r="AP1066" s="10"/>
      <c r="AQ1066" s="10"/>
      <c r="AR1066" s="10"/>
      <c r="AS1066" s="10"/>
    </row>
    <row r="1067" spans="1:45" ht="13">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c r="AB1067" s="10"/>
      <c r="AC1067" s="10"/>
      <c r="AD1067" s="10"/>
      <c r="AE1067" s="10"/>
      <c r="AF1067" s="10"/>
      <c r="AG1067" s="10"/>
      <c r="AH1067" s="10"/>
      <c r="AI1067" s="10"/>
      <c r="AJ1067" s="10"/>
      <c r="AK1067" s="10"/>
      <c r="AL1067" s="10"/>
      <c r="AM1067" s="10"/>
      <c r="AN1067" s="10"/>
      <c r="AO1067" s="10"/>
      <c r="AP1067" s="10"/>
      <c r="AQ1067" s="10"/>
      <c r="AR1067" s="10"/>
      <c r="AS1067" s="10"/>
    </row>
    <row r="1068" spans="1:45" ht="13">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c r="AB1068" s="10"/>
      <c r="AC1068" s="10"/>
      <c r="AD1068" s="10"/>
      <c r="AE1068" s="10"/>
      <c r="AF1068" s="10"/>
      <c r="AG1068" s="10"/>
      <c r="AH1068" s="10"/>
      <c r="AI1068" s="10"/>
      <c r="AJ1068" s="10"/>
      <c r="AK1068" s="10"/>
      <c r="AL1068" s="10"/>
      <c r="AM1068" s="10"/>
      <c r="AN1068" s="10"/>
      <c r="AO1068" s="10"/>
      <c r="AP1068" s="10"/>
      <c r="AQ1068" s="10"/>
      <c r="AR1068" s="10"/>
      <c r="AS1068" s="10"/>
    </row>
    <row r="1069" spans="1:45" ht="13">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c r="AB1069" s="10"/>
      <c r="AC1069" s="10"/>
      <c r="AD1069" s="10"/>
      <c r="AE1069" s="10"/>
      <c r="AF1069" s="10"/>
      <c r="AG1069" s="10"/>
      <c r="AH1069" s="10"/>
      <c r="AI1069" s="10"/>
      <c r="AJ1069" s="10"/>
      <c r="AK1069" s="10"/>
      <c r="AL1069" s="10"/>
      <c r="AM1069" s="10"/>
      <c r="AN1069" s="10"/>
      <c r="AO1069" s="10"/>
      <c r="AP1069" s="10"/>
      <c r="AQ1069" s="10"/>
      <c r="AR1069" s="10"/>
      <c r="AS1069" s="10"/>
    </row>
    <row r="1070" spans="1:45" ht="13">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c r="AB1070" s="10"/>
      <c r="AC1070" s="10"/>
      <c r="AD1070" s="10"/>
      <c r="AE1070" s="10"/>
      <c r="AF1070" s="10"/>
      <c r="AG1070" s="10"/>
      <c r="AH1070" s="10"/>
      <c r="AI1070" s="10"/>
      <c r="AJ1070" s="10"/>
      <c r="AK1070" s="10"/>
      <c r="AL1070" s="10"/>
      <c r="AM1070" s="10"/>
      <c r="AN1070" s="10"/>
      <c r="AO1070" s="10"/>
      <c r="AP1070" s="10"/>
      <c r="AQ1070" s="10"/>
      <c r="AR1070" s="10"/>
      <c r="AS1070" s="10"/>
    </row>
    <row r="1071" spans="1:45" ht="13">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c r="AB1071" s="10"/>
      <c r="AC1071" s="10"/>
      <c r="AD1071" s="10"/>
      <c r="AE1071" s="10"/>
      <c r="AF1071" s="10"/>
      <c r="AG1071" s="10"/>
      <c r="AH1071" s="10"/>
      <c r="AI1071" s="10"/>
      <c r="AJ1071" s="10"/>
      <c r="AK1071" s="10"/>
      <c r="AL1071" s="10"/>
      <c r="AM1071" s="10"/>
      <c r="AN1071" s="10"/>
      <c r="AO1071" s="10"/>
      <c r="AP1071" s="10"/>
      <c r="AQ1071" s="10"/>
      <c r="AR1071" s="10"/>
      <c r="AS1071" s="10"/>
    </row>
    <row r="1072" spans="1:45" ht="13">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c r="AJ1072" s="10"/>
      <c r="AK1072" s="10"/>
      <c r="AL1072" s="10"/>
      <c r="AM1072" s="10"/>
      <c r="AN1072" s="10"/>
      <c r="AO1072" s="10"/>
      <c r="AP1072" s="10"/>
      <c r="AQ1072" s="10"/>
      <c r="AR1072" s="10"/>
      <c r="AS1072" s="10"/>
    </row>
    <row r="1073" spans="1:45" ht="13">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c r="AK1073" s="10"/>
      <c r="AL1073" s="10"/>
      <c r="AM1073" s="10"/>
      <c r="AN1073" s="10"/>
      <c r="AO1073" s="10"/>
      <c r="AP1073" s="10"/>
      <c r="AQ1073" s="10"/>
      <c r="AR1073" s="10"/>
      <c r="AS1073" s="10"/>
    </row>
    <row r="1074" spans="1:45" ht="13">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c r="AK1074" s="10"/>
      <c r="AL1074" s="10"/>
      <c r="AM1074" s="10"/>
      <c r="AN1074" s="10"/>
      <c r="AO1074" s="10"/>
      <c r="AP1074" s="10"/>
      <c r="AQ1074" s="10"/>
      <c r="AR1074" s="10"/>
      <c r="AS1074" s="10"/>
    </row>
    <row r="1075" spans="1:45" ht="13">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c r="AK1075" s="10"/>
      <c r="AL1075" s="10"/>
      <c r="AM1075" s="10"/>
      <c r="AN1075" s="10"/>
      <c r="AO1075" s="10"/>
      <c r="AP1075" s="10"/>
      <c r="AQ1075" s="10"/>
      <c r="AR1075" s="10"/>
      <c r="AS1075" s="10"/>
    </row>
    <row r="1076" spans="1:45" ht="13">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c r="AK1076" s="10"/>
      <c r="AL1076" s="10"/>
      <c r="AM1076" s="10"/>
      <c r="AN1076" s="10"/>
      <c r="AO1076" s="10"/>
      <c r="AP1076" s="10"/>
      <c r="AQ1076" s="10"/>
      <c r="AR1076" s="10"/>
      <c r="AS1076" s="10"/>
    </row>
    <row r="1077" spans="1:45" ht="13">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c r="AK1077" s="10"/>
      <c r="AL1077" s="10"/>
      <c r="AM1077" s="10"/>
      <c r="AN1077" s="10"/>
      <c r="AO1077" s="10"/>
      <c r="AP1077" s="10"/>
      <c r="AQ1077" s="10"/>
      <c r="AR1077" s="10"/>
      <c r="AS1077" s="10"/>
    </row>
  </sheetData>
  <mergeCells count="156">
    <mergeCell ref="H86:H89"/>
    <mergeCell ref="I86:I89"/>
    <mergeCell ref="H90:H92"/>
    <mergeCell ref="I90:I92"/>
    <mergeCell ref="J90:J92"/>
    <mergeCell ref="K90:K92"/>
    <mergeCell ref="H71:H72"/>
    <mergeCell ref="I71:I72"/>
    <mergeCell ref="J71:J72"/>
    <mergeCell ref="K71:K72"/>
    <mergeCell ref="H73:H75"/>
    <mergeCell ref="I73:I75"/>
    <mergeCell ref="J73:J75"/>
    <mergeCell ref="K73:K75"/>
    <mergeCell ref="J77:J78"/>
    <mergeCell ref="K77:K78"/>
    <mergeCell ref="H80:H81"/>
    <mergeCell ref="I80:I81"/>
    <mergeCell ref="J80:J81"/>
    <mergeCell ref="K80:K81"/>
    <mergeCell ref="H82:H83"/>
    <mergeCell ref="I82:I83"/>
    <mergeCell ref="J82:J83"/>
    <mergeCell ref="K82:K83"/>
    <mergeCell ref="H95:H96"/>
    <mergeCell ref="I95:I96"/>
    <mergeCell ref="J95:J96"/>
    <mergeCell ref="K95:K96"/>
    <mergeCell ref="H98:H99"/>
    <mergeCell ref="I98:I99"/>
    <mergeCell ref="J86:J89"/>
    <mergeCell ref="K86:K89"/>
    <mergeCell ref="F2:F106"/>
    <mergeCell ref="H2:H5"/>
    <mergeCell ref="I2:I5"/>
    <mergeCell ref="J2:J5"/>
    <mergeCell ref="K2:K5"/>
    <mergeCell ref="H6:H8"/>
    <mergeCell ref="I6:I8"/>
    <mergeCell ref="J98:J99"/>
    <mergeCell ref="K98:K99"/>
    <mergeCell ref="H100:H101"/>
    <mergeCell ref="I100:I101"/>
    <mergeCell ref="J100:J101"/>
    <mergeCell ref="K100:K101"/>
    <mergeCell ref="H102:H103"/>
    <mergeCell ref="I102:I103"/>
    <mergeCell ref="J102:J103"/>
    <mergeCell ref="K102:K103"/>
    <mergeCell ref="H104:H105"/>
    <mergeCell ref="I104:I105"/>
    <mergeCell ref="H107:H108"/>
    <mergeCell ref="I107:I108"/>
    <mergeCell ref="J107:J108"/>
    <mergeCell ref="K107:K108"/>
    <mergeCell ref="J104:J105"/>
    <mergeCell ref="K104:K105"/>
    <mergeCell ref="J6:J8"/>
    <mergeCell ref="K6:K8"/>
    <mergeCell ref="H9:H11"/>
    <mergeCell ref="I9:I11"/>
    <mergeCell ref="J9:J11"/>
    <mergeCell ref="K9:K11"/>
    <mergeCell ref="H12:H13"/>
    <mergeCell ref="I12:I13"/>
    <mergeCell ref="J12:J13"/>
    <mergeCell ref="K12:K13"/>
    <mergeCell ref="H14:H16"/>
    <mergeCell ref="I14:I16"/>
    <mergeCell ref="H17:H18"/>
    <mergeCell ref="I17:I18"/>
    <mergeCell ref="J14:J16"/>
    <mergeCell ref="K14:K16"/>
    <mergeCell ref="J17:J18"/>
    <mergeCell ref="K17:K18"/>
    <mergeCell ref="H19:H21"/>
    <mergeCell ref="I19:I21"/>
    <mergeCell ref="J19:J21"/>
    <mergeCell ref="K19:K21"/>
    <mergeCell ref="H22:H25"/>
    <mergeCell ref="I22:I25"/>
    <mergeCell ref="H26:H27"/>
    <mergeCell ref="I26:I27"/>
    <mergeCell ref="J26:J27"/>
    <mergeCell ref="K26:K27"/>
    <mergeCell ref="J22:J25"/>
    <mergeCell ref="K22:K25"/>
    <mergeCell ref="H28:H30"/>
    <mergeCell ref="I28:I30"/>
    <mergeCell ref="J28:J30"/>
    <mergeCell ref="K28:K30"/>
    <mergeCell ref="H31:H34"/>
    <mergeCell ref="I31:I34"/>
    <mergeCell ref="H35:H36"/>
    <mergeCell ref="I35:I36"/>
    <mergeCell ref="J35:J36"/>
    <mergeCell ref="K35:K36"/>
    <mergeCell ref="L40:L41"/>
    <mergeCell ref="H37:H39"/>
    <mergeCell ref="I37:I39"/>
    <mergeCell ref="J31:J34"/>
    <mergeCell ref="K31:K34"/>
    <mergeCell ref="J37:J39"/>
    <mergeCell ref="K37:K39"/>
    <mergeCell ref="H40:H42"/>
    <mergeCell ref="I40:I42"/>
    <mergeCell ref="J40:J42"/>
    <mergeCell ref="K40:K42"/>
    <mergeCell ref="H44:H47"/>
    <mergeCell ref="I44:I47"/>
    <mergeCell ref="H48:H49"/>
    <mergeCell ref="I48:I49"/>
    <mergeCell ref="J48:J49"/>
    <mergeCell ref="K48:K49"/>
    <mergeCell ref="H50:H51"/>
    <mergeCell ref="I50:I51"/>
    <mergeCell ref="J50:J51"/>
    <mergeCell ref="K50:K51"/>
    <mergeCell ref="J44:J47"/>
    <mergeCell ref="K44:K47"/>
    <mergeCell ref="H52:H54"/>
    <mergeCell ref="I52:I54"/>
    <mergeCell ref="J52:J54"/>
    <mergeCell ref="K52:K54"/>
    <mergeCell ref="H56:H57"/>
    <mergeCell ref="I56:I57"/>
    <mergeCell ref="J56:J57"/>
    <mergeCell ref="K56:K57"/>
    <mergeCell ref="H58:H59"/>
    <mergeCell ref="I58:I59"/>
    <mergeCell ref="J58:J59"/>
    <mergeCell ref="K58:K59"/>
    <mergeCell ref="L88:L89"/>
    <mergeCell ref="H77:H78"/>
    <mergeCell ref="I77:I78"/>
    <mergeCell ref="H60:H62"/>
    <mergeCell ref="I60:I62"/>
    <mergeCell ref="J60:J62"/>
    <mergeCell ref="K60:K62"/>
    <mergeCell ref="H63:H64"/>
    <mergeCell ref="I63:I64"/>
    <mergeCell ref="J63:J64"/>
    <mergeCell ref="K63:K64"/>
    <mergeCell ref="L69:L70"/>
    <mergeCell ref="H65:H68"/>
    <mergeCell ref="I65:I68"/>
    <mergeCell ref="H69:H70"/>
    <mergeCell ref="I69:I70"/>
    <mergeCell ref="J69:J70"/>
    <mergeCell ref="K69:K70"/>
    <mergeCell ref="H84:H85"/>
    <mergeCell ref="I84:I85"/>
    <mergeCell ref="J84:J85"/>
    <mergeCell ref="K84:K85"/>
    <mergeCell ref="J65:J68"/>
    <mergeCell ref="K65:K68"/>
  </mergeCells>
  <hyperlinks>
    <hyperlink ref="U193"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47"/>
  <sheetViews>
    <sheetView workbookViewId="0"/>
  </sheetViews>
  <sheetFormatPr baseColWidth="10" defaultColWidth="12.6640625" defaultRowHeight="15.75" customHeight="1"/>
  <sheetData>
    <row r="1" spans="1:13" ht="15.75" customHeight="1">
      <c r="A1" s="79" t="s">
        <v>1818</v>
      </c>
      <c r="B1" s="80" t="s">
        <v>1819</v>
      </c>
      <c r="C1" s="80" t="s">
        <v>1820</v>
      </c>
      <c r="D1" s="80" t="s">
        <v>1821</v>
      </c>
      <c r="E1" s="80" t="s">
        <v>1822</v>
      </c>
      <c r="F1" s="80" t="s">
        <v>1823</v>
      </c>
      <c r="G1" s="80" t="s">
        <v>1824</v>
      </c>
      <c r="H1" s="80" t="s">
        <v>1825</v>
      </c>
      <c r="I1" s="81"/>
      <c r="J1" s="81"/>
      <c r="K1" s="81"/>
      <c r="L1" s="81"/>
      <c r="M1" s="81"/>
    </row>
    <row r="2" spans="1:13" ht="15.75" customHeight="1">
      <c r="A2" s="82" t="s">
        <v>106</v>
      </c>
      <c r="B2" s="83">
        <v>2</v>
      </c>
      <c r="C2" s="83">
        <v>3</v>
      </c>
      <c r="D2" s="84" t="s">
        <v>1826</v>
      </c>
      <c r="E2" s="84" t="s">
        <v>1826</v>
      </c>
      <c r="F2" s="84" t="s">
        <v>1826</v>
      </c>
      <c r="G2" s="85">
        <v>5</v>
      </c>
      <c r="H2" s="84" t="s">
        <v>415</v>
      </c>
      <c r="I2" s="81"/>
      <c r="J2" s="86"/>
      <c r="K2" s="86"/>
      <c r="L2" s="86"/>
      <c r="M2" s="86"/>
    </row>
    <row r="3" spans="1:13" ht="15.75" customHeight="1">
      <c r="A3" s="82" t="s">
        <v>87</v>
      </c>
      <c r="B3" s="83">
        <v>3</v>
      </c>
      <c r="C3" s="83">
        <v>3</v>
      </c>
      <c r="D3" s="84" t="s">
        <v>1826</v>
      </c>
      <c r="E3" s="84" t="s">
        <v>1826</v>
      </c>
      <c r="F3" s="84" t="s">
        <v>1826</v>
      </c>
      <c r="G3" s="85">
        <v>6</v>
      </c>
      <c r="H3" s="84" t="s">
        <v>415</v>
      </c>
      <c r="I3" s="87"/>
      <c r="J3" s="88" t="s">
        <v>1827</v>
      </c>
      <c r="K3" s="88" t="s">
        <v>1828</v>
      </c>
      <c r="L3" s="88" t="s">
        <v>415</v>
      </c>
      <c r="M3" s="88" t="s">
        <v>1829</v>
      </c>
    </row>
    <row r="4" spans="1:13" ht="15.75" customHeight="1">
      <c r="A4" s="82" t="s">
        <v>75</v>
      </c>
      <c r="B4" s="83">
        <v>4</v>
      </c>
      <c r="C4" s="83">
        <v>3</v>
      </c>
      <c r="D4" s="84" t="s">
        <v>1826</v>
      </c>
      <c r="E4" s="84" t="s">
        <v>1826</v>
      </c>
      <c r="F4" s="84" t="s">
        <v>1826</v>
      </c>
      <c r="G4" s="85">
        <v>7</v>
      </c>
      <c r="H4" s="84" t="s">
        <v>415</v>
      </c>
      <c r="I4" s="87"/>
      <c r="J4" s="88" t="s">
        <v>1830</v>
      </c>
      <c r="K4" s="84" t="s">
        <v>1831</v>
      </c>
      <c r="L4" s="84" t="s">
        <v>1832</v>
      </c>
      <c r="M4" s="84" t="s">
        <v>1833</v>
      </c>
    </row>
    <row r="5" spans="1:13" ht="15.75" customHeight="1">
      <c r="A5" s="82" t="s">
        <v>60</v>
      </c>
      <c r="B5" s="83">
        <v>5</v>
      </c>
      <c r="C5" s="83">
        <v>3</v>
      </c>
      <c r="D5" s="83">
        <v>1</v>
      </c>
      <c r="E5" s="83">
        <v>3</v>
      </c>
      <c r="F5" s="83">
        <v>3</v>
      </c>
      <c r="G5" s="89">
        <f t="shared" ref="G5:G20" si="0">SUM(B5:F5)</f>
        <v>15</v>
      </c>
      <c r="H5" s="84" t="s">
        <v>415</v>
      </c>
      <c r="I5" s="87"/>
      <c r="J5" s="88" t="s">
        <v>1834</v>
      </c>
      <c r="K5" s="84" t="s">
        <v>1835</v>
      </c>
      <c r="L5" s="90">
        <v>45053</v>
      </c>
      <c r="M5" s="90">
        <v>45148</v>
      </c>
    </row>
    <row r="6" spans="1:13" ht="15.75" customHeight="1">
      <c r="A6" s="82" t="s">
        <v>184</v>
      </c>
      <c r="B6" s="83">
        <v>4</v>
      </c>
      <c r="C6" s="83">
        <v>4</v>
      </c>
      <c r="D6" s="83">
        <v>1</v>
      </c>
      <c r="E6" s="83">
        <v>3</v>
      </c>
      <c r="F6" s="83">
        <v>3</v>
      </c>
      <c r="G6" s="89">
        <f t="shared" si="0"/>
        <v>15</v>
      </c>
      <c r="H6" s="84" t="s">
        <v>415</v>
      </c>
      <c r="I6" s="87"/>
      <c r="J6" s="91" t="s">
        <v>1836</v>
      </c>
      <c r="K6" s="92">
        <v>12</v>
      </c>
      <c r="L6" s="92">
        <v>15</v>
      </c>
      <c r="M6" s="92">
        <v>19</v>
      </c>
    </row>
    <row r="7" spans="1:13" ht="15.75" customHeight="1">
      <c r="A7" s="82" t="s">
        <v>49</v>
      </c>
      <c r="B7" s="83">
        <v>5</v>
      </c>
      <c r="C7" s="83">
        <v>4</v>
      </c>
      <c r="D7" s="83">
        <v>1</v>
      </c>
      <c r="E7" s="83">
        <v>4</v>
      </c>
      <c r="F7" s="83">
        <v>2</v>
      </c>
      <c r="G7" s="89">
        <f t="shared" si="0"/>
        <v>16</v>
      </c>
      <c r="H7" s="84" t="s">
        <v>415</v>
      </c>
      <c r="I7" s="81"/>
      <c r="J7" s="81"/>
      <c r="K7" s="81"/>
      <c r="L7" s="81"/>
      <c r="M7" s="81"/>
    </row>
    <row r="8" spans="1:13" ht="15.75" customHeight="1">
      <c r="A8" s="82" t="s">
        <v>53</v>
      </c>
      <c r="B8" s="83">
        <v>5</v>
      </c>
      <c r="C8" s="83">
        <v>4</v>
      </c>
      <c r="D8" s="83">
        <v>1</v>
      </c>
      <c r="E8" s="83">
        <v>4</v>
      </c>
      <c r="F8" s="83">
        <v>2</v>
      </c>
      <c r="G8" s="89">
        <f t="shared" si="0"/>
        <v>16</v>
      </c>
      <c r="H8" s="84" t="s">
        <v>415</v>
      </c>
      <c r="I8" s="81"/>
      <c r="J8" s="81"/>
      <c r="K8" s="81"/>
      <c r="L8" s="81"/>
      <c r="M8" s="81"/>
    </row>
    <row r="9" spans="1:13" ht="15.75" customHeight="1">
      <c r="A9" s="82" t="s">
        <v>56</v>
      </c>
      <c r="B9" s="83">
        <v>5</v>
      </c>
      <c r="C9" s="83">
        <v>3</v>
      </c>
      <c r="D9" s="83">
        <v>1</v>
      </c>
      <c r="E9" s="83">
        <v>4</v>
      </c>
      <c r="F9" s="83">
        <v>3</v>
      </c>
      <c r="G9" s="89">
        <f t="shared" si="0"/>
        <v>16</v>
      </c>
      <c r="H9" s="84" t="s">
        <v>415</v>
      </c>
      <c r="I9" s="81"/>
      <c r="J9" s="81"/>
      <c r="K9" s="81"/>
      <c r="L9" s="81"/>
      <c r="M9" s="81"/>
    </row>
    <row r="10" spans="1:13" ht="15.75" customHeight="1">
      <c r="A10" s="82" t="s">
        <v>72</v>
      </c>
      <c r="B10" s="83">
        <v>4</v>
      </c>
      <c r="C10" s="83">
        <v>3</v>
      </c>
      <c r="D10" s="83">
        <v>1</v>
      </c>
      <c r="E10" s="83">
        <v>3</v>
      </c>
      <c r="F10" s="83">
        <v>5</v>
      </c>
      <c r="G10" s="89">
        <f t="shared" si="0"/>
        <v>16</v>
      </c>
      <c r="H10" s="84" t="s">
        <v>415</v>
      </c>
      <c r="I10" s="81"/>
      <c r="J10" s="81"/>
      <c r="K10" s="81"/>
      <c r="L10" s="81"/>
      <c r="M10" s="81"/>
    </row>
    <row r="11" spans="1:13" ht="15.75" customHeight="1">
      <c r="A11" s="82" t="s">
        <v>110</v>
      </c>
      <c r="B11" s="83">
        <v>3</v>
      </c>
      <c r="C11" s="83">
        <v>4</v>
      </c>
      <c r="D11" s="83">
        <v>5</v>
      </c>
      <c r="E11" s="83">
        <v>3</v>
      </c>
      <c r="F11" s="83">
        <v>1</v>
      </c>
      <c r="G11" s="89">
        <f t="shared" si="0"/>
        <v>16</v>
      </c>
      <c r="H11" s="84" t="s">
        <v>415</v>
      </c>
      <c r="I11" s="81"/>
      <c r="J11" s="81"/>
      <c r="K11" s="81"/>
      <c r="L11" s="81"/>
      <c r="M11" s="81"/>
    </row>
    <row r="12" spans="1:13" ht="15.75" customHeight="1">
      <c r="A12" s="82" t="s">
        <v>168</v>
      </c>
      <c r="B12" s="83">
        <v>4</v>
      </c>
      <c r="C12" s="83">
        <v>3</v>
      </c>
      <c r="D12" s="83">
        <v>1</v>
      </c>
      <c r="E12" s="83">
        <v>4</v>
      </c>
      <c r="F12" s="83">
        <v>4</v>
      </c>
      <c r="G12" s="89">
        <f t="shared" si="0"/>
        <v>16</v>
      </c>
      <c r="H12" s="84" t="s">
        <v>415</v>
      </c>
      <c r="I12" s="81"/>
      <c r="J12" s="81"/>
      <c r="K12" s="81"/>
      <c r="L12" s="81"/>
      <c r="M12" s="81"/>
    </row>
    <row r="13" spans="1:13" ht="15.75" customHeight="1">
      <c r="A13" s="82" t="s">
        <v>172</v>
      </c>
      <c r="B13" s="83">
        <v>5</v>
      </c>
      <c r="C13" s="83">
        <v>3</v>
      </c>
      <c r="D13" s="83">
        <v>1</v>
      </c>
      <c r="E13" s="83">
        <v>3</v>
      </c>
      <c r="F13" s="93">
        <v>4</v>
      </c>
      <c r="G13" s="89">
        <f t="shared" si="0"/>
        <v>16</v>
      </c>
      <c r="H13" s="84" t="s">
        <v>415</v>
      </c>
      <c r="I13" s="81"/>
      <c r="J13" s="81"/>
      <c r="K13" s="81"/>
      <c r="L13" s="81"/>
      <c r="M13" s="81"/>
    </row>
    <row r="14" spans="1:13" ht="15.75" customHeight="1">
      <c r="A14" s="82" t="s">
        <v>39</v>
      </c>
      <c r="B14" s="83">
        <v>4</v>
      </c>
      <c r="C14" s="83">
        <v>4</v>
      </c>
      <c r="D14" s="83">
        <v>1</v>
      </c>
      <c r="E14" s="83">
        <v>4</v>
      </c>
      <c r="F14" s="83">
        <v>4</v>
      </c>
      <c r="G14" s="89">
        <f t="shared" si="0"/>
        <v>17</v>
      </c>
      <c r="H14" s="84" t="s">
        <v>415</v>
      </c>
      <c r="I14" s="81"/>
      <c r="J14" s="81"/>
      <c r="K14" s="81"/>
      <c r="L14" s="81"/>
      <c r="M14" s="81"/>
    </row>
    <row r="15" spans="1:13" ht="15.75" customHeight="1">
      <c r="A15" s="82" t="s">
        <v>79</v>
      </c>
      <c r="B15" s="83">
        <v>4</v>
      </c>
      <c r="C15" s="83">
        <v>3</v>
      </c>
      <c r="D15" s="83">
        <v>4</v>
      </c>
      <c r="E15" s="83">
        <v>3</v>
      </c>
      <c r="F15" s="83">
        <v>3</v>
      </c>
      <c r="G15" s="89">
        <f t="shared" si="0"/>
        <v>17</v>
      </c>
      <c r="H15" s="84" t="s">
        <v>415</v>
      </c>
      <c r="I15" s="81"/>
      <c r="J15" s="81"/>
      <c r="K15" s="81"/>
      <c r="L15" s="81"/>
      <c r="M15" s="81"/>
    </row>
    <row r="16" spans="1:13" ht="15.75" customHeight="1">
      <c r="A16" s="82" t="s">
        <v>136</v>
      </c>
      <c r="B16" s="83">
        <v>5</v>
      </c>
      <c r="C16" s="83">
        <v>4</v>
      </c>
      <c r="D16" s="83">
        <v>4</v>
      </c>
      <c r="E16" s="83">
        <v>2</v>
      </c>
      <c r="F16" s="83">
        <v>2</v>
      </c>
      <c r="G16" s="89">
        <f t="shared" si="0"/>
        <v>17</v>
      </c>
      <c r="H16" s="84" t="s">
        <v>415</v>
      </c>
      <c r="I16" s="81"/>
      <c r="J16" s="81"/>
      <c r="K16" s="81"/>
      <c r="L16" s="81"/>
      <c r="M16" s="81"/>
    </row>
    <row r="17" spans="1:13" ht="15.75" customHeight="1">
      <c r="A17" s="82" t="s">
        <v>140</v>
      </c>
      <c r="B17" s="83">
        <v>5</v>
      </c>
      <c r="C17" s="83">
        <v>4</v>
      </c>
      <c r="D17" s="83">
        <v>3</v>
      </c>
      <c r="E17" s="83">
        <v>4</v>
      </c>
      <c r="F17" s="93">
        <v>1</v>
      </c>
      <c r="G17" s="89">
        <f t="shared" si="0"/>
        <v>17</v>
      </c>
      <c r="H17" s="84" t="s">
        <v>415</v>
      </c>
      <c r="I17" s="81"/>
      <c r="J17" s="81"/>
      <c r="K17" s="81"/>
      <c r="L17" s="81"/>
      <c r="M17" s="81"/>
    </row>
    <row r="18" spans="1:13" ht="15.75" customHeight="1">
      <c r="A18" s="82" t="s">
        <v>69</v>
      </c>
      <c r="B18" s="83">
        <v>4</v>
      </c>
      <c r="C18" s="83">
        <v>4</v>
      </c>
      <c r="D18" s="83">
        <v>1</v>
      </c>
      <c r="E18" s="83">
        <v>4</v>
      </c>
      <c r="F18" s="83">
        <v>5</v>
      </c>
      <c r="G18" s="89">
        <f t="shared" si="0"/>
        <v>18</v>
      </c>
      <c r="H18" s="84" t="s">
        <v>415</v>
      </c>
      <c r="I18" s="81"/>
      <c r="J18" s="81"/>
      <c r="K18" s="81"/>
      <c r="L18" s="81"/>
      <c r="M18" s="81"/>
    </row>
    <row r="19" spans="1:13" ht="15.75" customHeight="1">
      <c r="A19" s="82" t="s">
        <v>84</v>
      </c>
      <c r="B19" s="83">
        <v>5</v>
      </c>
      <c r="C19" s="83">
        <v>4</v>
      </c>
      <c r="D19" s="83">
        <v>1</v>
      </c>
      <c r="E19" s="83">
        <v>4</v>
      </c>
      <c r="F19" s="83">
        <v>4</v>
      </c>
      <c r="G19" s="89">
        <f t="shared" si="0"/>
        <v>18</v>
      </c>
      <c r="H19" s="84" t="s">
        <v>415</v>
      </c>
      <c r="I19" s="81"/>
      <c r="J19" s="81"/>
      <c r="K19" s="81"/>
      <c r="L19" s="81"/>
      <c r="M19" s="81"/>
    </row>
    <row r="20" spans="1:13" ht="15.75" customHeight="1">
      <c r="A20" s="82" t="s">
        <v>180</v>
      </c>
      <c r="B20" s="83">
        <v>5</v>
      </c>
      <c r="C20" s="83">
        <v>4</v>
      </c>
      <c r="D20" s="83">
        <v>1</v>
      </c>
      <c r="E20" s="83">
        <v>4</v>
      </c>
      <c r="F20" s="83">
        <v>4</v>
      </c>
      <c r="G20" s="89">
        <f t="shared" si="0"/>
        <v>18</v>
      </c>
      <c r="H20" s="84" t="s">
        <v>415</v>
      </c>
      <c r="I20" s="81"/>
      <c r="J20" s="81"/>
      <c r="K20" s="81"/>
      <c r="L20" s="81"/>
      <c r="M20" s="81"/>
    </row>
    <row r="21" spans="1:13" ht="15.75" customHeight="1">
      <c r="A21" s="82" t="s">
        <v>29</v>
      </c>
      <c r="B21" s="83">
        <v>5</v>
      </c>
      <c r="C21" s="83">
        <v>3</v>
      </c>
      <c r="D21" s="84" t="s">
        <v>1826</v>
      </c>
      <c r="E21" s="84" t="s">
        <v>1826</v>
      </c>
      <c r="F21" s="84" t="s">
        <v>1826</v>
      </c>
      <c r="G21" s="85">
        <v>8</v>
      </c>
      <c r="H21" s="84" t="s">
        <v>1829</v>
      </c>
      <c r="I21" s="81"/>
      <c r="J21" s="81"/>
      <c r="K21" s="81"/>
      <c r="L21" s="81"/>
      <c r="M21" s="81"/>
    </row>
    <row r="22" spans="1:13" ht="15.75" customHeight="1">
      <c r="A22" s="82" t="s">
        <v>26</v>
      </c>
      <c r="B22" s="83">
        <v>5</v>
      </c>
      <c r="C22" s="83">
        <v>5</v>
      </c>
      <c r="D22" s="84" t="s">
        <v>1826</v>
      </c>
      <c r="E22" s="84" t="s">
        <v>1826</v>
      </c>
      <c r="F22" s="84" t="s">
        <v>1826</v>
      </c>
      <c r="G22" s="85">
        <v>10</v>
      </c>
      <c r="H22" s="84" t="s">
        <v>1829</v>
      </c>
      <c r="I22" s="81"/>
      <c r="J22" s="81"/>
      <c r="K22" s="81"/>
      <c r="L22" s="81"/>
      <c r="M22" s="81"/>
    </row>
    <row r="23" spans="1:13" ht="15.75" customHeight="1">
      <c r="A23" s="82" t="s">
        <v>36</v>
      </c>
      <c r="B23" s="83">
        <v>5</v>
      </c>
      <c r="C23" s="83">
        <v>5</v>
      </c>
      <c r="D23" s="84" t="s">
        <v>1826</v>
      </c>
      <c r="E23" s="84" t="s">
        <v>1826</v>
      </c>
      <c r="F23" s="84" t="s">
        <v>1826</v>
      </c>
      <c r="G23" s="85">
        <v>10</v>
      </c>
      <c r="H23" s="84" t="s">
        <v>1829</v>
      </c>
      <c r="I23" s="81"/>
      <c r="J23" s="81"/>
      <c r="K23" s="81"/>
      <c r="L23" s="81"/>
      <c r="M23" s="81"/>
    </row>
    <row r="24" spans="1:13" ht="15.75" customHeight="1">
      <c r="A24" s="82" t="s">
        <v>17</v>
      </c>
      <c r="B24" s="83">
        <v>5</v>
      </c>
      <c r="C24" s="83">
        <v>4</v>
      </c>
      <c r="D24" s="83">
        <v>5</v>
      </c>
      <c r="E24" s="83">
        <v>3</v>
      </c>
      <c r="F24" s="83">
        <v>3</v>
      </c>
      <c r="G24" s="89">
        <f t="shared" ref="G24:G35" si="1">SUM(B24:F24)</f>
        <v>20</v>
      </c>
      <c r="H24" s="84" t="s">
        <v>1829</v>
      </c>
      <c r="I24" s="81"/>
      <c r="J24" s="81"/>
      <c r="K24" s="81"/>
      <c r="L24" s="81"/>
      <c r="M24" s="81"/>
    </row>
    <row r="25" spans="1:13" ht="15.75" customHeight="1">
      <c r="A25" s="82" t="s">
        <v>95</v>
      </c>
      <c r="B25" s="83">
        <v>5</v>
      </c>
      <c r="C25" s="83">
        <v>5</v>
      </c>
      <c r="D25" s="83">
        <v>1</v>
      </c>
      <c r="E25" s="83">
        <v>5</v>
      </c>
      <c r="F25" s="83">
        <v>4</v>
      </c>
      <c r="G25" s="89">
        <f t="shared" si="1"/>
        <v>20</v>
      </c>
      <c r="H25" s="84" t="s">
        <v>1829</v>
      </c>
      <c r="I25" s="81"/>
      <c r="J25" s="81"/>
      <c r="K25" s="81"/>
      <c r="L25" s="81"/>
      <c r="M25" s="81"/>
    </row>
    <row r="26" spans="1:13" ht="15.75" customHeight="1">
      <c r="A26" s="82" t="s">
        <v>159</v>
      </c>
      <c r="B26" s="83">
        <v>5</v>
      </c>
      <c r="C26" s="83">
        <v>5</v>
      </c>
      <c r="D26" s="83">
        <v>5</v>
      </c>
      <c r="E26" s="83">
        <v>1</v>
      </c>
      <c r="F26" s="93">
        <v>4</v>
      </c>
      <c r="G26" s="89">
        <f t="shared" si="1"/>
        <v>20</v>
      </c>
      <c r="H26" s="84" t="s">
        <v>1829</v>
      </c>
      <c r="I26" s="81"/>
      <c r="J26" s="81"/>
      <c r="K26" s="81"/>
      <c r="L26" s="81"/>
      <c r="M26" s="81"/>
    </row>
    <row r="27" spans="1:13" ht="15.75" customHeight="1">
      <c r="A27" s="82" t="s">
        <v>102</v>
      </c>
      <c r="B27" s="83">
        <v>5</v>
      </c>
      <c r="C27" s="83">
        <v>5</v>
      </c>
      <c r="D27" s="83">
        <v>1</v>
      </c>
      <c r="E27" s="83">
        <v>5</v>
      </c>
      <c r="F27" s="83">
        <v>5</v>
      </c>
      <c r="G27" s="89">
        <f t="shared" si="1"/>
        <v>21</v>
      </c>
      <c r="H27" s="84" t="s">
        <v>1829</v>
      </c>
      <c r="I27" s="81"/>
      <c r="J27" s="81"/>
      <c r="K27" s="81"/>
      <c r="L27" s="81"/>
      <c r="M27" s="81"/>
    </row>
    <row r="28" spans="1:13" ht="15.75" customHeight="1">
      <c r="A28" s="82" t="s">
        <v>144</v>
      </c>
      <c r="B28" s="83">
        <v>4</v>
      </c>
      <c r="C28" s="83">
        <v>5</v>
      </c>
      <c r="D28" s="83">
        <v>2</v>
      </c>
      <c r="E28" s="83">
        <v>5</v>
      </c>
      <c r="F28" s="93">
        <v>5</v>
      </c>
      <c r="G28" s="89">
        <f t="shared" si="1"/>
        <v>21</v>
      </c>
      <c r="H28" s="84" t="s">
        <v>1829</v>
      </c>
      <c r="I28" s="81"/>
      <c r="J28" s="81"/>
      <c r="K28" s="81"/>
      <c r="L28" s="81"/>
      <c r="M28" s="81"/>
    </row>
    <row r="29" spans="1:13" ht="15.75" customHeight="1">
      <c r="A29" s="82" t="s">
        <v>8</v>
      </c>
      <c r="B29" s="83">
        <v>5</v>
      </c>
      <c r="C29" s="83">
        <v>5</v>
      </c>
      <c r="D29" s="83">
        <v>3</v>
      </c>
      <c r="E29" s="83">
        <v>4</v>
      </c>
      <c r="F29" s="83">
        <v>5</v>
      </c>
      <c r="G29" s="89">
        <f t="shared" si="1"/>
        <v>22</v>
      </c>
      <c r="H29" s="84" t="s">
        <v>1829</v>
      </c>
      <c r="I29" s="81"/>
      <c r="J29" s="81"/>
      <c r="K29" s="81"/>
      <c r="L29" s="81"/>
      <c r="M29" s="81"/>
    </row>
    <row r="30" spans="1:13" ht="15.75" customHeight="1">
      <c r="A30" s="82" t="s">
        <v>21</v>
      </c>
      <c r="B30" s="83">
        <v>5</v>
      </c>
      <c r="C30" s="83">
        <v>5</v>
      </c>
      <c r="D30" s="83">
        <v>4</v>
      </c>
      <c r="E30" s="83">
        <v>3</v>
      </c>
      <c r="F30" s="83">
        <v>5</v>
      </c>
      <c r="G30" s="89">
        <f t="shared" si="1"/>
        <v>22</v>
      </c>
      <c r="H30" s="84" t="s">
        <v>1829</v>
      </c>
      <c r="I30" s="81"/>
      <c r="J30" s="81"/>
      <c r="K30" s="81"/>
      <c r="L30" s="81"/>
      <c r="M30" s="81"/>
    </row>
    <row r="31" spans="1:13" ht="15.75" customHeight="1">
      <c r="A31" s="82" t="s">
        <v>43</v>
      </c>
      <c r="B31" s="83">
        <v>5</v>
      </c>
      <c r="C31" s="83">
        <v>5</v>
      </c>
      <c r="D31" s="83">
        <v>2</v>
      </c>
      <c r="E31" s="83">
        <v>5</v>
      </c>
      <c r="F31" s="83">
        <v>5</v>
      </c>
      <c r="G31" s="89">
        <f t="shared" si="1"/>
        <v>22</v>
      </c>
      <c r="H31" s="84" t="s">
        <v>1829</v>
      </c>
      <c r="I31" s="81"/>
      <c r="J31" s="81"/>
      <c r="K31" s="81"/>
      <c r="L31" s="81"/>
      <c r="M31" s="81"/>
    </row>
    <row r="32" spans="1:13" ht="15.75" customHeight="1">
      <c r="A32" s="82" t="s">
        <v>124</v>
      </c>
      <c r="B32" s="83">
        <v>5</v>
      </c>
      <c r="C32" s="83">
        <v>5</v>
      </c>
      <c r="D32" s="83">
        <v>5</v>
      </c>
      <c r="E32" s="83">
        <v>4</v>
      </c>
      <c r="F32" s="83">
        <v>3</v>
      </c>
      <c r="G32" s="89">
        <f t="shared" si="1"/>
        <v>22</v>
      </c>
      <c r="H32" s="84" t="s">
        <v>1829</v>
      </c>
      <c r="I32" s="81"/>
      <c r="J32" s="81"/>
      <c r="K32" s="81"/>
      <c r="L32" s="81"/>
      <c r="M32" s="81"/>
    </row>
    <row r="33" spans="1:13" ht="15.75" customHeight="1">
      <c r="A33" s="82" t="s">
        <v>14</v>
      </c>
      <c r="B33" s="83">
        <v>5</v>
      </c>
      <c r="C33" s="83">
        <v>5</v>
      </c>
      <c r="D33" s="83">
        <v>3</v>
      </c>
      <c r="E33" s="83">
        <v>5</v>
      </c>
      <c r="F33" s="83">
        <v>5</v>
      </c>
      <c r="G33" s="89">
        <f t="shared" si="1"/>
        <v>23</v>
      </c>
      <c r="H33" s="84" t="s">
        <v>1829</v>
      </c>
      <c r="I33" s="81"/>
      <c r="J33" s="81"/>
      <c r="K33" s="81"/>
      <c r="L33" s="81"/>
      <c r="M33" s="81"/>
    </row>
    <row r="34" spans="1:13" ht="15.75" customHeight="1">
      <c r="A34" s="82" t="s">
        <v>91</v>
      </c>
      <c r="B34" s="83">
        <v>5</v>
      </c>
      <c r="C34" s="83">
        <v>5</v>
      </c>
      <c r="D34" s="83">
        <v>4</v>
      </c>
      <c r="E34" s="83">
        <v>5</v>
      </c>
      <c r="F34" s="83">
        <v>5</v>
      </c>
      <c r="G34" s="89">
        <f t="shared" si="1"/>
        <v>24</v>
      </c>
      <c r="H34" s="84" t="s">
        <v>1829</v>
      </c>
      <c r="I34" s="81"/>
      <c r="J34" s="81"/>
      <c r="K34" s="81"/>
      <c r="L34" s="81"/>
      <c r="M34" s="81"/>
    </row>
    <row r="35" spans="1:13" ht="15.75" customHeight="1">
      <c r="A35" s="82" t="s">
        <v>129</v>
      </c>
      <c r="B35" s="83">
        <v>5</v>
      </c>
      <c r="C35" s="83">
        <v>5</v>
      </c>
      <c r="D35" s="83">
        <v>5</v>
      </c>
      <c r="E35" s="83">
        <v>5</v>
      </c>
      <c r="F35" s="93">
        <v>5</v>
      </c>
      <c r="G35" s="89">
        <f t="shared" si="1"/>
        <v>25</v>
      </c>
      <c r="H35" s="84" t="s">
        <v>1829</v>
      </c>
      <c r="I35" s="81"/>
      <c r="J35" s="81"/>
      <c r="K35" s="81"/>
      <c r="L35" s="81"/>
      <c r="M35" s="81"/>
    </row>
    <row r="36" spans="1:13" ht="15.75" customHeight="1">
      <c r="A36" s="82" t="s">
        <v>176</v>
      </c>
      <c r="B36" s="83">
        <v>2</v>
      </c>
      <c r="C36" s="83">
        <v>2</v>
      </c>
      <c r="D36" s="84" t="s">
        <v>1826</v>
      </c>
      <c r="E36" s="84" t="s">
        <v>1826</v>
      </c>
      <c r="F36" s="84" t="s">
        <v>1826</v>
      </c>
      <c r="G36" s="85">
        <v>4</v>
      </c>
      <c r="H36" s="84" t="s">
        <v>1828</v>
      </c>
      <c r="I36" s="81"/>
      <c r="J36" s="81"/>
      <c r="K36" s="81"/>
      <c r="L36" s="81"/>
      <c r="M36" s="81"/>
    </row>
    <row r="37" spans="1:13" ht="15.75" customHeight="1">
      <c r="A37" s="82" t="s">
        <v>119</v>
      </c>
      <c r="B37" s="83">
        <v>3</v>
      </c>
      <c r="C37" s="83">
        <v>2</v>
      </c>
      <c r="D37" s="83">
        <v>1</v>
      </c>
      <c r="E37" s="83">
        <v>2</v>
      </c>
      <c r="F37" s="93">
        <v>1</v>
      </c>
      <c r="G37" s="89">
        <f t="shared" ref="G37:G47" si="2">SUM(B37:F37)</f>
        <v>9</v>
      </c>
      <c r="H37" s="84" t="s">
        <v>1828</v>
      </c>
      <c r="I37" s="81"/>
      <c r="J37" s="81"/>
      <c r="K37" s="81"/>
      <c r="L37" s="81"/>
      <c r="M37" s="81"/>
    </row>
    <row r="38" spans="1:13" ht="15.75" customHeight="1">
      <c r="A38" s="82" t="s">
        <v>32</v>
      </c>
      <c r="B38" s="83">
        <v>3</v>
      </c>
      <c r="C38" s="83">
        <v>3</v>
      </c>
      <c r="D38" s="83">
        <v>1</v>
      </c>
      <c r="E38" s="83">
        <v>2</v>
      </c>
      <c r="F38" s="83">
        <v>1</v>
      </c>
      <c r="G38" s="89">
        <f t="shared" si="2"/>
        <v>10</v>
      </c>
      <c r="H38" s="84" t="s">
        <v>1828</v>
      </c>
      <c r="I38" s="81"/>
      <c r="J38" s="81"/>
      <c r="K38" s="81"/>
      <c r="L38" s="81"/>
      <c r="M38" s="81"/>
    </row>
    <row r="39" spans="1:13" ht="15.75" customHeight="1">
      <c r="A39" s="82" t="s">
        <v>65</v>
      </c>
      <c r="B39" s="83">
        <v>3</v>
      </c>
      <c r="C39" s="83">
        <v>3</v>
      </c>
      <c r="D39" s="83">
        <v>1</v>
      </c>
      <c r="E39" s="83">
        <v>1</v>
      </c>
      <c r="F39" s="83">
        <v>2</v>
      </c>
      <c r="G39" s="89">
        <f t="shared" si="2"/>
        <v>10</v>
      </c>
      <c r="H39" s="84" t="s">
        <v>1828</v>
      </c>
      <c r="I39" s="81"/>
      <c r="J39" s="81"/>
      <c r="K39" s="81"/>
      <c r="L39" s="81"/>
      <c r="M39" s="81"/>
    </row>
    <row r="40" spans="1:13" ht="15.75" customHeight="1">
      <c r="A40" s="82" t="s">
        <v>132</v>
      </c>
      <c r="B40" s="83">
        <v>4</v>
      </c>
      <c r="C40" s="83">
        <v>3</v>
      </c>
      <c r="D40" s="83">
        <v>1</v>
      </c>
      <c r="E40" s="83">
        <v>1</v>
      </c>
      <c r="F40" s="83">
        <v>1</v>
      </c>
      <c r="G40" s="89">
        <f t="shared" si="2"/>
        <v>10</v>
      </c>
      <c r="H40" s="84" t="s">
        <v>1828</v>
      </c>
      <c r="I40" s="81"/>
      <c r="J40" s="81"/>
      <c r="K40" s="81"/>
      <c r="L40" s="81"/>
      <c r="M40" s="81"/>
    </row>
    <row r="41" spans="1:13" ht="15.75" customHeight="1">
      <c r="A41" s="82" t="s">
        <v>98</v>
      </c>
      <c r="B41" s="83">
        <v>4</v>
      </c>
      <c r="C41" s="83">
        <v>2</v>
      </c>
      <c r="D41" s="83">
        <v>1</v>
      </c>
      <c r="E41" s="83">
        <v>2</v>
      </c>
      <c r="F41" s="83">
        <v>2</v>
      </c>
      <c r="G41" s="89">
        <f t="shared" si="2"/>
        <v>11</v>
      </c>
      <c r="H41" s="84" t="s">
        <v>1828</v>
      </c>
      <c r="I41" s="81"/>
      <c r="J41" s="81"/>
      <c r="K41" s="81"/>
      <c r="L41" s="81"/>
      <c r="M41" s="81"/>
    </row>
    <row r="42" spans="1:13" ht="15.75" customHeight="1">
      <c r="A42" s="82" t="s">
        <v>147</v>
      </c>
      <c r="B42" s="83">
        <v>4</v>
      </c>
      <c r="C42" s="83">
        <v>3</v>
      </c>
      <c r="D42" s="83">
        <v>1</v>
      </c>
      <c r="E42" s="83">
        <v>2</v>
      </c>
      <c r="F42" s="93">
        <v>1</v>
      </c>
      <c r="G42" s="89">
        <f t="shared" si="2"/>
        <v>11</v>
      </c>
      <c r="H42" s="84" t="s">
        <v>1828</v>
      </c>
      <c r="I42" s="81"/>
      <c r="J42" s="81"/>
      <c r="K42" s="81"/>
      <c r="L42" s="81"/>
      <c r="M42" s="81"/>
    </row>
    <row r="43" spans="1:13" ht="15.75" customHeight="1">
      <c r="A43" s="82" t="s">
        <v>155</v>
      </c>
      <c r="B43" s="83">
        <v>4</v>
      </c>
      <c r="C43" s="83">
        <v>3</v>
      </c>
      <c r="D43" s="83">
        <v>1</v>
      </c>
      <c r="E43" s="83">
        <v>2</v>
      </c>
      <c r="F43" s="83">
        <v>1</v>
      </c>
      <c r="G43" s="89">
        <f t="shared" si="2"/>
        <v>11</v>
      </c>
      <c r="H43" s="84" t="s">
        <v>1828</v>
      </c>
      <c r="I43" s="81"/>
      <c r="J43" s="81"/>
      <c r="K43" s="81"/>
      <c r="L43" s="81"/>
      <c r="M43" s="81"/>
    </row>
    <row r="44" spans="1:13" ht="15.75" customHeight="1">
      <c r="A44" s="82" t="s">
        <v>163</v>
      </c>
      <c r="B44" s="83">
        <v>4</v>
      </c>
      <c r="C44" s="83">
        <v>3</v>
      </c>
      <c r="D44" s="83">
        <v>1</v>
      </c>
      <c r="E44" s="83">
        <v>3</v>
      </c>
      <c r="F44" s="83">
        <v>1</v>
      </c>
      <c r="G44" s="89">
        <f t="shared" si="2"/>
        <v>12</v>
      </c>
      <c r="H44" s="84" t="s">
        <v>1828</v>
      </c>
      <c r="I44" s="81"/>
      <c r="J44" s="81"/>
      <c r="K44" s="81"/>
      <c r="L44" s="81"/>
      <c r="M44" s="81"/>
    </row>
    <row r="45" spans="1:13" ht="15.75" customHeight="1">
      <c r="A45" s="82" t="s">
        <v>188</v>
      </c>
      <c r="B45" s="83">
        <v>3</v>
      </c>
      <c r="C45" s="83">
        <v>4</v>
      </c>
      <c r="D45" s="83">
        <v>1</v>
      </c>
      <c r="E45" s="83">
        <v>3</v>
      </c>
      <c r="F45" s="83">
        <v>1</v>
      </c>
      <c r="G45" s="89">
        <f t="shared" si="2"/>
        <v>12</v>
      </c>
      <c r="H45" s="84" t="s">
        <v>1828</v>
      </c>
      <c r="I45" s="81"/>
      <c r="J45" s="81"/>
      <c r="K45" s="81"/>
      <c r="L45" s="81"/>
      <c r="M45" s="81"/>
    </row>
    <row r="46" spans="1:13" ht="15.75" customHeight="1">
      <c r="A46" s="82" t="s">
        <v>114</v>
      </c>
      <c r="B46" s="83">
        <v>4</v>
      </c>
      <c r="C46" s="83">
        <v>4</v>
      </c>
      <c r="D46" s="83">
        <v>2</v>
      </c>
      <c r="E46" s="83">
        <v>3</v>
      </c>
      <c r="F46" s="93">
        <v>1</v>
      </c>
      <c r="G46" s="89">
        <f t="shared" si="2"/>
        <v>14</v>
      </c>
      <c r="H46" s="84" t="s">
        <v>1828</v>
      </c>
      <c r="I46" s="81"/>
      <c r="J46" s="81"/>
      <c r="K46" s="81"/>
      <c r="L46" s="81"/>
      <c r="M46" s="81"/>
    </row>
    <row r="47" spans="1:13" ht="15.75" customHeight="1">
      <c r="A47" s="82" t="s">
        <v>151</v>
      </c>
      <c r="B47" s="83">
        <v>5</v>
      </c>
      <c r="C47" s="83">
        <v>4</v>
      </c>
      <c r="D47" s="83">
        <v>1</v>
      </c>
      <c r="E47" s="83">
        <v>3</v>
      </c>
      <c r="F47" s="83">
        <v>1</v>
      </c>
      <c r="G47" s="89">
        <f t="shared" si="2"/>
        <v>14</v>
      </c>
      <c r="H47" s="84" t="s">
        <v>1828</v>
      </c>
      <c r="I47" s="81"/>
      <c r="J47" s="81"/>
      <c r="K47" s="81"/>
      <c r="L47" s="81"/>
      <c r="M47" s="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79"/>
  <sheetViews>
    <sheetView workbookViewId="0">
      <selection activeCell="O22" sqref="O22"/>
    </sheetView>
  </sheetViews>
  <sheetFormatPr baseColWidth="10" defaultColWidth="12.6640625" defaultRowHeight="15.75" customHeight="1"/>
  <sheetData>
    <row r="1" spans="2:5" ht="15.75" customHeight="1">
      <c r="B1" s="7" t="s">
        <v>1837</v>
      </c>
      <c r="E1" s="7" t="s">
        <v>1838</v>
      </c>
    </row>
    <row r="14" spans="2:5" ht="15.75" customHeight="1">
      <c r="B14" s="270" t="s">
        <v>1839</v>
      </c>
      <c r="C14" s="268"/>
    </row>
    <row r="15" spans="2:5" ht="15.75" customHeight="1">
      <c r="B15" s="95" t="s">
        <v>1840</v>
      </c>
      <c r="C15" s="95" t="s">
        <v>1841</v>
      </c>
    </row>
    <row r="16" spans="2:5" ht="15.75" customHeight="1">
      <c r="B16" s="3" t="s">
        <v>47</v>
      </c>
      <c r="C16" s="3">
        <f>COUNTIF(CleanedData!C2:C47,"Journal")</f>
        <v>17</v>
      </c>
    </row>
    <row r="17" spans="1:9" ht="15.75" customHeight="1">
      <c r="B17" s="3" t="s">
        <v>12</v>
      </c>
      <c r="C17" s="3">
        <f>COUNTIF(CleanedData!C2:C47,"Conference")</f>
        <v>18</v>
      </c>
    </row>
    <row r="18" spans="1:9" ht="15.75" customHeight="1">
      <c r="B18" s="3" t="s">
        <v>25</v>
      </c>
      <c r="C18" s="3">
        <f>COUNTIF(CleanedData!C2:C47,"Workshop")</f>
        <v>9</v>
      </c>
    </row>
    <row r="19" spans="1:9" ht="15.75" customHeight="1">
      <c r="B19" s="3" t="s">
        <v>167</v>
      </c>
      <c r="C19" s="3">
        <f>COUNTIF(CleanedData!C2:C47,"Symposium")</f>
        <v>2</v>
      </c>
    </row>
    <row r="21" spans="1:9" ht="15.75" customHeight="1">
      <c r="A21" s="7" t="s">
        <v>1842</v>
      </c>
      <c r="H21" s="270" t="s">
        <v>1843</v>
      </c>
      <c r="I21" s="268"/>
    </row>
    <row r="22" spans="1:9" ht="15.75" customHeight="1">
      <c r="H22" s="95" t="s">
        <v>1844</v>
      </c>
      <c r="I22" s="95" t="s">
        <v>1841</v>
      </c>
    </row>
    <row r="23" spans="1:9" ht="15.75" customHeight="1">
      <c r="H23" s="3" t="s">
        <v>20</v>
      </c>
      <c r="I23" s="3">
        <f>COUNTIF(CleanedData!D2:D47,"IEEE")</f>
        <v>11</v>
      </c>
    </row>
    <row r="24" spans="1:9" ht="15.75" customHeight="1">
      <c r="E24" s="96"/>
      <c r="H24" s="3" t="s">
        <v>13</v>
      </c>
      <c r="I24" s="3">
        <f>COUNTIF(CleanedData!D2:D47,"ACM")</f>
        <v>6</v>
      </c>
    </row>
    <row r="25" spans="1:9" ht="15.75" customHeight="1">
      <c r="E25" s="96"/>
      <c r="H25" s="3" t="s">
        <v>83</v>
      </c>
      <c r="I25" s="3">
        <f>COUNTIF(CleanedData!D2:D47,"Springer")</f>
        <v>5</v>
      </c>
    </row>
    <row r="26" spans="1:9" ht="15.75" customHeight="1">
      <c r="E26" s="96"/>
      <c r="H26" s="3" t="s">
        <v>128</v>
      </c>
      <c r="I26" s="3">
        <f>COUNTIF(CleanedData!D2:D47,"Science Direct")</f>
        <v>2</v>
      </c>
    </row>
    <row r="27" spans="1:9" ht="15.75" customHeight="1">
      <c r="E27" s="96"/>
      <c r="H27" s="3" t="s">
        <v>118</v>
      </c>
      <c r="I27" s="3">
        <f>COUNTIF(CleanedData!D2:D47,"Web of Science")</f>
        <v>1</v>
      </c>
    </row>
    <row r="28" spans="1:9" ht="15.75" customHeight="1">
      <c r="E28" s="96"/>
      <c r="H28" s="3" t="s">
        <v>64</v>
      </c>
      <c r="I28" s="3">
        <f>COUNTIF(CleanedData!D2:D47,"Scopus")</f>
        <v>7</v>
      </c>
    </row>
    <row r="29" spans="1:9" ht="15.75" customHeight="1">
      <c r="E29" s="96"/>
      <c r="H29" s="3" t="s">
        <v>48</v>
      </c>
      <c r="I29" s="3">
        <f>COUNTIF(CleanedData!D2:D47,"Snowballing")</f>
        <v>14</v>
      </c>
    </row>
    <row r="30" spans="1:9" ht="15.75" customHeight="1">
      <c r="E30" s="97"/>
    </row>
    <row r="33" spans="6:13" ht="15.75" customHeight="1">
      <c r="F33" s="17"/>
      <c r="G33" s="17"/>
      <c r="I33" s="95" t="s">
        <v>1845</v>
      </c>
      <c r="J33" s="95" t="s">
        <v>1846</v>
      </c>
      <c r="K33" s="95" t="s">
        <v>47</v>
      </c>
      <c r="L33" s="95" t="s">
        <v>25</v>
      </c>
      <c r="M33" s="95" t="s">
        <v>1847</v>
      </c>
    </row>
    <row r="34" spans="6:13" ht="15.75" customHeight="1">
      <c r="F34" s="7"/>
      <c r="G34" s="7"/>
      <c r="I34" s="3">
        <v>2023</v>
      </c>
      <c r="J34" s="3">
        <v>3</v>
      </c>
      <c r="K34" s="3">
        <v>0</v>
      </c>
      <c r="L34" s="3">
        <v>0</v>
      </c>
      <c r="M34" s="3">
        <v>3</v>
      </c>
    </row>
    <row r="35" spans="6:13" ht="15.75" customHeight="1">
      <c r="F35" s="7"/>
      <c r="G35" s="7"/>
      <c r="I35" s="3">
        <v>2022</v>
      </c>
      <c r="J35" s="3">
        <v>6</v>
      </c>
      <c r="K35" s="3">
        <v>1</v>
      </c>
      <c r="L35" s="3">
        <v>4</v>
      </c>
      <c r="M35" s="3">
        <v>11</v>
      </c>
    </row>
    <row r="36" spans="6:13" ht="15.75" customHeight="1">
      <c r="F36" s="7"/>
      <c r="G36" s="7"/>
      <c r="I36" s="3">
        <v>2021</v>
      </c>
      <c r="J36" s="3">
        <v>3</v>
      </c>
      <c r="K36" s="3">
        <v>3</v>
      </c>
      <c r="L36" s="3">
        <v>3</v>
      </c>
      <c r="M36" s="3">
        <v>9</v>
      </c>
    </row>
    <row r="37" spans="6:13" ht="15.75" customHeight="1">
      <c r="F37" s="7"/>
      <c r="G37" s="7"/>
      <c r="I37" s="3">
        <v>2020</v>
      </c>
      <c r="J37" s="3">
        <v>1</v>
      </c>
      <c r="K37" s="3">
        <v>3</v>
      </c>
      <c r="L37" s="3">
        <v>0</v>
      </c>
      <c r="M37" s="3">
        <v>4</v>
      </c>
    </row>
    <row r="38" spans="6:13" ht="15.75" customHeight="1">
      <c r="F38" s="7"/>
      <c r="G38" s="7"/>
      <c r="I38" s="3">
        <v>2019</v>
      </c>
      <c r="J38" s="3">
        <v>2</v>
      </c>
      <c r="K38" s="3">
        <v>7</v>
      </c>
      <c r="L38" s="3">
        <v>0</v>
      </c>
      <c r="M38" s="3">
        <v>9</v>
      </c>
    </row>
    <row r="39" spans="6:13" ht="15.75" customHeight="1">
      <c r="F39" s="7"/>
      <c r="G39" s="7"/>
      <c r="I39" s="3">
        <v>2018</v>
      </c>
      <c r="J39" s="3">
        <v>2</v>
      </c>
      <c r="K39" s="3">
        <v>1</v>
      </c>
      <c r="L39" s="3">
        <v>0</v>
      </c>
      <c r="M39" s="3">
        <v>3</v>
      </c>
    </row>
    <row r="40" spans="6:13" ht="15.75" customHeight="1">
      <c r="F40" s="7"/>
      <c r="G40" s="7"/>
      <c r="I40" s="3">
        <v>2017</v>
      </c>
      <c r="J40" s="3">
        <v>1</v>
      </c>
      <c r="K40" s="3">
        <v>0</v>
      </c>
      <c r="L40" s="3">
        <v>0</v>
      </c>
      <c r="M40" s="3">
        <v>1</v>
      </c>
    </row>
    <row r="41" spans="6:13" ht="15.75" customHeight="1">
      <c r="F41" s="7"/>
      <c r="G41" s="7"/>
      <c r="I41" s="3">
        <v>2016</v>
      </c>
      <c r="J41" s="3">
        <v>1</v>
      </c>
      <c r="K41" s="3">
        <v>0</v>
      </c>
      <c r="L41" s="3">
        <v>0</v>
      </c>
      <c r="M41" s="3">
        <v>1</v>
      </c>
    </row>
    <row r="42" spans="6:13" ht="15.75" customHeight="1">
      <c r="F42" s="7"/>
      <c r="G42" s="7"/>
      <c r="I42" s="3">
        <v>2015</v>
      </c>
      <c r="J42" s="3">
        <v>0</v>
      </c>
      <c r="K42" s="3">
        <v>1</v>
      </c>
      <c r="L42" s="3">
        <v>0</v>
      </c>
      <c r="M42" s="3">
        <v>1</v>
      </c>
    </row>
    <row r="43" spans="6:13" ht="15.75" customHeight="1">
      <c r="F43" s="7"/>
      <c r="G43" s="7"/>
      <c r="I43" s="3">
        <v>2014</v>
      </c>
      <c r="J43" s="3">
        <v>0</v>
      </c>
      <c r="K43" s="3">
        <v>0</v>
      </c>
      <c r="L43" s="3">
        <v>1</v>
      </c>
      <c r="M43" s="3">
        <v>1</v>
      </c>
    </row>
    <row r="44" spans="6:13" ht="15.75" customHeight="1">
      <c r="F44" s="7"/>
      <c r="G44" s="7"/>
      <c r="I44" s="3">
        <v>2013</v>
      </c>
      <c r="J44" s="3">
        <v>0</v>
      </c>
      <c r="K44" s="3">
        <v>0</v>
      </c>
      <c r="L44" s="3">
        <v>0</v>
      </c>
      <c r="M44" s="3">
        <v>0</v>
      </c>
    </row>
    <row r="45" spans="6:13" ht="15.75" customHeight="1">
      <c r="F45" s="7"/>
      <c r="G45" s="7"/>
      <c r="I45" s="3">
        <v>2012</v>
      </c>
      <c r="J45" s="3">
        <v>1</v>
      </c>
      <c r="K45" s="3">
        <v>0</v>
      </c>
      <c r="L45" s="3">
        <v>0</v>
      </c>
      <c r="M45" s="3">
        <v>1</v>
      </c>
    </row>
    <row r="46" spans="6:13" ht="15.75" customHeight="1">
      <c r="F46" s="7"/>
      <c r="G46" s="7"/>
      <c r="I46" s="3">
        <v>2011</v>
      </c>
      <c r="J46" s="3">
        <v>0</v>
      </c>
      <c r="K46" s="3">
        <v>1</v>
      </c>
      <c r="L46" s="3">
        <v>0</v>
      </c>
      <c r="M46" s="3">
        <v>1</v>
      </c>
    </row>
    <row r="47" spans="6:13" ht="15.75" customHeight="1">
      <c r="F47" s="7"/>
      <c r="G47" s="7"/>
      <c r="I47" s="3">
        <v>2010</v>
      </c>
      <c r="J47" s="3">
        <v>0</v>
      </c>
      <c r="K47" s="3">
        <v>0</v>
      </c>
      <c r="L47" s="3">
        <v>0</v>
      </c>
      <c r="M47" s="3">
        <v>0</v>
      </c>
    </row>
    <row r="48" spans="6:13" ht="15.75" customHeight="1">
      <c r="F48" s="7"/>
      <c r="G48" s="7"/>
      <c r="I48" s="3">
        <v>2009</v>
      </c>
      <c r="J48" s="3">
        <v>0</v>
      </c>
      <c r="K48" s="3">
        <v>0</v>
      </c>
      <c r="L48" s="3">
        <v>0</v>
      </c>
      <c r="M48" s="3">
        <v>0</v>
      </c>
    </row>
    <row r="49" spans="6:13" ht="15.75" customHeight="1">
      <c r="F49" s="7"/>
      <c r="G49" s="7"/>
      <c r="I49" s="3">
        <v>2008</v>
      </c>
      <c r="J49" s="3">
        <v>0</v>
      </c>
      <c r="K49" s="3">
        <v>0</v>
      </c>
      <c r="L49" s="3">
        <v>1</v>
      </c>
      <c r="M49" s="3">
        <v>1</v>
      </c>
    </row>
    <row r="50" spans="6:13" ht="15.75" customHeight="1">
      <c r="F50" s="7"/>
      <c r="G50" s="7"/>
    </row>
    <row r="51" spans="6:13" ht="15.75" customHeight="1">
      <c r="F51" s="7"/>
      <c r="G51" s="7"/>
    </row>
    <row r="52" spans="6:13" ht="15.75" customHeight="1">
      <c r="F52" s="7"/>
      <c r="G52" s="7"/>
    </row>
    <row r="53" spans="6:13" ht="15.75" customHeight="1">
      <c r="F53" s="7"/>
      <c r="G53" s="7"/>
    </row>
    <row r="54" spans="6:13" ht="15.75" customHeight="1">
      <c r="F54" s="7"/>
      <c r="G54" s="7"/>
    </row>
    <row r="55" spans="6:13" ht="15.75" customHeight="1">
      <c r="F55" s="7"/>
      <c r="G55" s="7"/>
    </row>
    <row r="56" spans="6:13" ht="15.75" customHeight="1">
      <c r="F56" s="7"/>
      <c r="G56" s="7"/>
    </row>
    <row r="57" spans="6:13" ht="15.75" customHeight="1">
      <c r="F57" s="7"/>
      <c r="G57" s="7"/>
    </row>
    <row r="58" spans="6:13" ht="15.75" customHeight="1">
      <c r="F58" s="7"/>
      <c r="G58" s="7"/>
    </row>
    <row r="59" spans="6:13" ht="13">
      <c r="F59" s="7"/>
      <c r="G59" s="7"/>
    </row>
    <row r="60" spans="6:13" ht="13">
      <c r="F60" s="7"/>
      <c r="G60" s="7"/>
    </row>
    <row r="61" spans="6:13" ht="13">
      <c r="F61" s="7"/>
      <c r="G61" s="7"/>
    </row>
    <row r="62" spans="6:13" ht="13">
      <c r="F62" s="7"/>
      <c r="G62" s="7"/>
    </row>
    <row r="63" spans="6:13" ht="13">
      <c r="F63" s="7"/>
      <c r="G63" s="7"/>
    </row>
    <row r="64" spans="6:13" ht="13">
      <c r="F64" s="7"/>
      <c r="G64" s="7"/>
    </row>
    <row r="65" spans="6:7" ht="13">
      <c r="F65" s="7"/>
      <c r="G65" s="7"/>
    </row>
    <row r="66" spans="6:7" ht="13">
      <c r="F66" s="7"/>
      <c r="G66" s="7"/>
    </row>
    <row r="67" spans="6:7" ht="13">
      <c r="F67" s="7"/>
      <c r="G67" s="7"/>
    </row>
    <row r="68" spans="6:7" ht="13">
      <c r="F68" s="7"/>
      <c r="G68" s="7"/>
    </row>
    <row r="69" spans="6:7" ht="13">
      <c r="F69" s="7"/>
      <c r="G69" s="7"/>
    </row>
    <row r="70" spans="6:7" ht="13">
      <c r="F70" s="7"/>
      <c r="G70" s="7"/>
    </row>
    <row r="71" spans="6:7" ht="13">
      <c r="F71" s="7"/>
      <c r="G71" s="7"/>
    </row>
    <row r="72" spans="6:7" ht="13">
      <c r="F72" s="7"/>
      <c r="G72" s="7"/>
    </row>
    <row r="73" spans="6:7" ht="13">
      <c r="F73" s="7"/>
      <c r="G73" s="7"/>
    </row>
    <row r="74" spans="6:7" ht="13">
      <c r="F74" s="7"/>
      <c r="G74" s="7"/>
    </row>
    <row r="75" spans="6:7" ht="13">
      <c r="F75" s="7"/>
      <c r="G75" s="7"/>
    </row>
    <row r="76" spans="6:7" ht="13">
      <c r="F76" s="7"/>
      <c r="G76" s="7"/>
    </row>
    <row r="77" spans="6:7" ht="13">
      <c r="F77" s="7"/>
      <c r="G77" s="7"/>
    </row>
    <row r="78" spans="6:7" ht="13">
      <c r="F78" s="7"/>
      <c r="G78" s="7"/>
    </row>
    <row r="79" spans="6:7" ht="13">
      <c r="F79" s="7"/>
      <c r="G79" s="7"/>
    </row>
  </sheetData>
  <mergeCells count="2">
    <mergeCell ref="B14:C14"/>
    <mergeCell ref="H21:I2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90"/>
  <sheetViews>
    <sheetView topLeftCell="A19" zoomScale="40" zoomScaleNormal="40" workbookViewId="0">
      <selection activeCell="R94" sqref="R94"/>
    </sheetView>
  </sheetViews>
  <sheetFormatPr baseColWidth="10" defaultColWidth="12.6640625" defaultRowHeight="15.75" customHeight="1"/>
  <cols>
    <col min="1" max="1" width="10.83203125" customWidth="1"/>
    <col min="2" max="2" width="5.33203125" customWidth="1"/>
    <col min="3" max="3" width="21.1640625" customWidth="1"/>
    <col min="4" max="4" width="20.33203125" customWidth="1"/>
    <col min="5" max="5" width="42.83203125" customWidth="1"/>
    <col min="8" max="8" width="22.1640625" customWidth="1"/>
    <col min="9" max="9" width="24.83203125" customWidth="1"/>
    <col min="10" max="10" width="9.33203125" customWidth="1"/>
    <col min="11" max="11" width="28.33203125" customWidth="1"/>
    <col min="12" max="12" width="23.1640625" customWidth="1"/>
    <col min="13" max="13" width="14.1640625" customWidth="1"/>
    <col min="14" max="14" width="21.6640625" customWidth="1"/>
    <col min="15" max="15" width="11.6640625" customWidth="1"/>
    <col min="16" max="16" width="23.6640625" customWidth="1"/>
    <col min="17" max="17" width="16.6640625" customWidth="1"/>
    <col min="19" max="19" width="23.1640625" customWidth="1"/>
    <col min="20" max="20" width="9.6640625" customWidth="1"/>
    <col min="21" max="21" width="24.33203125" customWidth="1"/>
    <col min="25" max="25" width="30.5" customWidth="1"/>
  </cols>
  <sheetData>
    <row r="1" spans="1:25" ht="16">
      <c r="A1" s="98"/>
      <c r="B1" s="98"/>
      <c r="C1" s="295" t="s">
        <v>1848</v>
      </c>
      <c r="D1" s="280"/>
      <c r="E1" s="281"/>
      <c r="H1" s="296" t="s">
        <v>1849</v>
      </c>
      <c r="I1" s="280"/>
      <c r="J1" s="280"/>
      <c r="K1" s="281"/>
      <c r="N1" s="297" t="s">
        <v>1850</v>
      </c>
      <c r="O1" s="280"/>
      <c r="P1" s="281"/>
      <c r="S1" s="298" t="s">
        <v>200</v>
      </c>
      <c r="T1" s="280"/>
      <c r="U1" s="281"/>
    </row>
    <row r="2" spans="1:25" ht="16">
      <c r="A2" s="98"/>
      <c r="B2" s="98"/>
      <c r="C2" s="282"/>
      <c r="D2" s="268"/>
      <c r="E2" s="283"/>
      <c r="H2" s="282"/>
      <c r="I2" s="268"/>
      <c r="J2" s="268"/>
      <c r="K2" s="283"/>
      <c r="N2" s="282"/>
      <c r="O2" s="268"/>
      <c r="P2" s="283"/>
      <c r="S2" s="282"/>
      <c r="T2" s="268"/>
      <c r="U2" s="283"/>
    </row>
    <row r="3" spans="1:25" ht="16">
      <c r="A3" s="98"/>
      <c r="B3" s="98"/>
      <c r="C3" s="284"/>
      <c r="D3" s="285"/>
      <c r="E3" s="286"/>
      <c r="H3" s="284"/>
      <c r="I3" s="285"/>
      <c r="J3" s="285"/>
      <c r="K3" s="286"/>
      <c r="N3" s="284"/>
      <c r="O3" s="285"/>
      <c r="P3" s="286"/>
      <c r="S3" s="284"/>
      <c r="T3" s="285"/>
      <c r="U3" s="286"/>
    </row>
    <row r="4" spans="1:25" ht="13">
      <c r="A4" s="94"/>
      <c r="B4" s="94"/>
      <c r="C4" s="94"/>
      <c r="D4" s="270" t="s">
        <v>1851</v>
      </c>
      <c r="E4" s="268"/>
      <c r="H4" s="270" t="s">
        <v>1852</v>
      </c>
      <c r="I4" s="268"/>
      <c r="J4" s="268"/>
      <c r="K4" s="268"/>
      <c r="N4" s="270" t="s">
        <v>1853</v>
      </c>
      <c r="O4" s="268"/>
      <c r="P4" s="268"/>
      <c r="S4" s="270" t="s">
        <v>1854</v>
      </c>
      <c r="T4" s="268"/>
      <c r="U4" s="268"/>
    </row>
    <row r="5" spans="1:25" ht="30.75" customHeight="1">
      <c r="A5" s="99"/>
      <c r="B5" s="99"/>
      <c r="C5" s="95" t="s">
        <v>1855</v>
      </c>
      <c r="D5" s="95" t="s">
        <v>1856</v>
      </c>
      <c r="E5" s="95" t="s">
        <v>1469</v>
      </c>
      <c r="H5" s="293" t="s">
        <v>1857</v>
      </c>
      <c r="I5" s="273"/>
      <c r="J5" s="101" t="s">
        <v>1841</v>
      </c>
      <c r="K5" s="102" t="s">
        <v>1469</v>
      </c>
      <c r="N5" s="103" t="s">
        <v>1858</v>
      </c>
      <c r="O5" s="103" t="s">
        <v>1841</v>
      </c>
      <c r="P5" s="103" t="s">
        <v>1469</v>
      </c>
      <c r="S5" s="104" t="s">
        <v>1859</v>
      </c>
      <c r="T5" s="101" t="s">
        <v>1841</v>
      </c>
      <c r="U5" s="104" t="s">
        <v>1469</v>
      </c>
      <c r="Y5" s="105" t="s">
        <v>1860</v>
      </c>
    </row>
    <row r="6" spans="1:25" ht="42">
      <c r="A6" s="7"/>
      <c r="B6" s="7"/>
      <c r="C6" s="278" t="s">
        <v>1861</v>
      </c>
      <c r="D6" s="3" t="s">
        <v>1407</v>
      </c>
      <c r="E6" s="106" t="str">
        <f ca="1">IFERROR(__xludf.DUMMYFUNCTION("JOIN ("", "", FILTER(CleanedData!G1:G108, CleanedData!L1:L108=""abstraction""))"),"P1, P4, P5, P6, P7, P8, P9, P10, P14, P16, P19, P21, P22, P23, P25, P27, P28, P29, P30, P33, P35, P36, P40, P41, P42, P43, P44, P46")</f>
        <v>P1, P4, P5, P6, P7, P8, P9, P10, P14, P16, P19, P21, P22, P23, P25, P27, P28, P29, P30, P33, P35, P36, P40, P41, P42, P43, P44, P46</v>
      </c>
      <c r="H6" s="290" t="s">
        <v>1862</v>
      </c>
      <c r="I6" s="273"/>
      <c r="J6" s="3">
        <f>COUNTIF(CleanedData!X2:X47,"machine learning")</f>
        <v>11</v>
      </c>
      <c r="K6" s="107" t="str">
        <f ca="1">IFERROR(__xludf.DUMMYFUNCTION("JOIN ("", "", FILTER(CleanedData!W2:W47, CleanedData!X2:X47=""machine learning""))"),"P9, P10, P13, P15, P21, P22, P23, P32, P33, P41, P43")</f>
        <v>P9, P10, P13, P15, P21, P22, P23, P32, P33, P41, P43</v>
      </c>
      <c r="N6" s="108" t="s">
        <v>1404</v>
      </c>
      <c r="O6" s="108">
        <f>COUNTIF(CleanedData!O2:O49,"cyber-physical systems")</f>
        <v>15</v>
      </c>
      <c r="P6" s="109" t="str">
        <f ca="1">IFERROR(__xludf.DUMMYFUNCTION("JOIN ("", "", FILTER(CleanedData!N2:N49, CleanedData!O2:O49=""cyber-physical systems""))"),"P1, P3, P5, P8, P9, P11, P12, P13, P19, P20, P22, P23, P31, P33, P45")</f>
        <v>P1, P3, P5, P8, P9, P11, P12, P13, P19, P20, P22, P23, P31, P33, P45</v>
      </c>
      <c r="S6" s="110"/>
      <c r="T6" s="111"/>
      <c r="U6" s="112"/>
      <c r="V6" s="10"/>
      <c r="W6" s="10"/>
      <c r="Y6" s="113" t="s">
        <v>1863</v>
      </c>
    </row>
    <row r="7" spans="1:25" ht="14">
      <c r="A7" s="7"/>
      <c r="B7" s="7"/>
      <c r="C7" s="258"/>
      <c r="D7" s="3" t="s">
        <v>1414</v>
      </c>
      <c r="E7" s="114" t="str">
        <f ca="1">IFERROR(__xludf.DUMMYFUNCTION("JOIN ("", "", FILTER(CleanedData!G1:G108, CleanedData!L1:L108=""integration""))"),"P1, P5, P8, P11, P20, P22")</f>
        <v>P1, P5, P8, P11, P20, P22</v>
      </c>
      <c r="H7" s="294" t="s">
        <v>1864</v>
      </c>
      <c r="I7" s="273"/>
      <c r="J7" s="3">
        <f>COUNTIF(CleanedData!X2:X47,"unsupervised learning")</f>
        <v>0</v>
      </c>
      <c r="K7" s="107">
        <v>0</v>
      </c>
      <c r="L7" s="6"/>
      <c r="N7" s="108" t="s">
        <v>1408</v>
      </c>
      <c r="O7" s="108">
        <f>COUNTIF(CleanedData!O2:O49,"not specified")</f>
        <v>5</v>
      </c>
      <c r="P7" s="109" t="str">
        <f ca="1">IFERROR(__xludf.DUMMYFUNCTION("JOIN ("", "", FILTER(CleanedData!N2:N49, CleanedData!O2:O49=""not specified""))"),"P2, P4, P7, P15, P36")</f>
        <v>P2, P4, P7, P15, P36</v>
      </c>
      <c r="S7" s="110" t="s">
        <v>1442</v>
      </c>
      <c r="T7" s="111">
        <f>COUNTIF(CleanedData!R2:R47,"satellite communication")</f>
        <v>1</v>
      </c>
      <c r="U7" s="106" t="str">
        <f ca="1">IFERROR(__xludf.DUMMYFUNCTION("JOIN ("", "", FILTER(CleanedData!Q2:Q47, CleanedData!R2:R47=""satellite communication""))"),"P33")</f>
        <v>P33</v>
      </c>
      <c r="V7" s="10"/>
      <c r="W7" s="10"/>
      <c r="Y7" s="113" t="s">
        <v>1863</v>
      </c>
    </row>
    <row r="8" spans="1:25" ht="56">
      <c r="A8" s="7"/>
      <c r="B8" s="7"/>
      <c r="C8" s="258"/>
      <c r="D8" s="3" t="s">
        <v>1418</v>
      </c>
      <c r="E8" s="114" t="str">
        <f ca="1">IFERROR(__xludf.DUMMYFUNCTION("JOIN ("", "", FILTER(CleanedData!G1:G108, CleanedData!L1:L108=""automation""))"),"P2, P4, P5, P9, P11, P12, P13, P16, P17, P18, P19, P21, P23, P24, P25, P27, P28, P30, P31, P32, P33, P34, P35, P36, P37, P38, P39, P41, P42, P43, P44, P46")</f>
        <v>P2, P4, P5, P9, P11, P12, P13, P16, P17, P18, P19, P21, P23, P24, P25, P27, P28, P30, P31, P32, P33, P34, P35, P36, P37, P38, P39, P41, P42, P43, P44, P46</v>
      </c>
      <c r="H8" s="289" t="s">
        <v>1865</v>
      </c>
      <c r="I8" s="289" t="s">
        <v>1866</v>
      </c>
      <c r="J8" s="291">
        <f>COUNTIF(CleanedData!X2:X47,"traditional supervised learning")</f>
        <v>7</v>
      </c>
      <c r="K8" s="292" t="str">
        <f ca="1">IFERROR(__xludf.DUMMYFUNCTION("JOIN ("", "", FILTER(CleanedData!W2:W47, CleanedData!X2:X47=""traditional supervised learning""))"),"P2, P6, P16, P17, P19, P35, P38")</f>
        <v>P2, P6, P16, P17, P19, P35, P38</v>
      </c>
      <c r="N8" s="108" t="s">
        <v>908</v>
      </c>
      <c r="O8" s="108">
        <f>COUNTIF(CleanedData!O2:O49,"web")</f>
        <v>6</v>
      </c>
      <c r="P8" s="109" t="str">
        <f ca="1">IFERROR(__xludf.DUMMYFUNCTION("JOIN ("", "", FILTER(CleanedData!N2:N49, CleanedData!O2:O49=""web""))"),"P6, P24, P26, P32, P34, P37")</f>
        <v>P6, P24, P26, P32, P34, P37</v>
      </c>
      <c r="S8" s="110" t="s">
        <v>368</v>
      </c>
      <c r="T8" s="111">
        <f>COUNTIF(CleanedData!R2:R47,"autonomous vehicles")</f>
        <v>2</v>
      </c>
      <c r="U8" s="106" t="str">
        <f ca="1">IFERROR(__xludf.DUMMYFUNCTION("JOIN ("", "", FILTER(CleanedData!Q2:Q47, CleanedData!R2:R47=""autonomous vehicles""))"),"P1, P3")</f>
        <v>P1, P3</v>
      </c>
      <c r="V8" s="10"/>
      <c r="W8" s="10"/>
      <c r="Y8" s="113" t="s">
        <v>1867</v>
      </c>
    </row>
    <row r="9" spans="1:25" ht="42">
      <c r="A9" s="7"/>
      <c r="B9" s="7"/>
      <c r="C9" s="258"/>
      <c r="D9" s="3" t="s">
        <v>1421</v>
      </c>
      <c r="E9" s="3" t="str">
        <f ca="1">IFERROR(__xludf.DUMMYFUNCTION("JOIN ("", "", FILTER(CleanedData!G1:G108, CleanedData!L1:L108=""monitoring""))"),"P3, P6, P13")</f>
        <v>P3, P6, P13</v>
      </c>
      <c r="H9" s="258"/>
      <c r="I9" s="254"/>
      <c r="J9" s="254"/>
      <c r="K9" s="254"/>
      <c r="N9" s="108" t="s">
        <v>619</v>
      </c>
      <c r="O9" s="108">
        <f>COUNTIF(CleanedData!O2:O49,"desktop")</f>
        <v>14</v>
      </c>
      <c r="P9" s="109" t="str">
        <f ca="1">IFERROR(__xludf.DUMMYFUNCTION("JOIN ("", "", FILTER(CleanedData!N2:N49, CleanedData!O2:O49=""desktop""))"),"P10, P14, P16, P17, P18, P21, P26, P28, P29, P30, P34, P35, P38, P39")</f>
        <v>P10, P14, P16, P17, P18, P21, P26, P28, P29, P30, P34, P35, P38, P39</v>
      </c>
      <c r="S9" s="110" t="s">
        <v>443</v>
      </c>
      <c r="T9" s="111">
        <f>COUNTIF(CleanedData!R2:R47,"cyber physical systems")</f>
        <v>7</v>
      </c>
      <c r="U9" s="106" t="str">
        <f ca="1">IFERROR(__xludf.DUMMYFUNCTION("JOIN ("", "", FILTER(CleanedData!Q2:Q47, CleanedData!R2:R47=""cyber physical systems""))"),"P5, P8, P9, P12, P22, P23, P31")</f>
        <v>P5, P8, P9, P12, P22, P23, P31</v>
      </c>
      <c r="V9" s="10"/>
      <c r="W9" s="10"/>
      <c r="Y9" s="113" t="s">
        <v>1867</v>
      </c>
    </row>
    <row r="10" spans="1:25" ht="42">
      <c r="A10" s="7"/>
      <c r="B10" s="7"/>
      <c r="C10" s="258"/>
      <c r="D10" s="3" t="s">
        <v>1422</v>
      </c>
      <c r="E10" s="3" t="str">
        <f ca="1">IFERROR(__xludf.DUMMYFUNCTION("JOIN ("", "", FILTER(CleanedData!G1:G108, CleanedData!L1:L108=""system management""))"),"P3, P13")</f>
        <v>P3, P13</v>
      </c>
      <c r="H10" s="258"/>
      <c r="I10" s="117" t="s">
        <v>532</v>
      </c>
      <c r="J10" s="3">
        <f>COUNTIF(CleanedData!X2:X47,"neural networks")</f>
        <v>19</v>
      </c>
      <c r="K10" s="107" t="str">
        <f ca="1">IFERROR(__xludf.DUMMYFUNCTION("JOIN ("", "", FILTER(CleanedData!W2:W47, CleanedData!X2:X47=""neural networks""))"),"P1, P3, P4, P7, P8, P11, P12, P14, P20, P24, P25, P26, P28, P29, P36, P39, P42, P44, P46")</f>
        <v>P1, P3, P4, P7, P8, P11, P12, P14, P20, P24, P25, P26, P28, P29, P36, P39, P42, P44, P46</v>
      </c>
      <c r="L10" s="6"/>
      <c r="N10" s="108" t="s">
        <v>1449</v>
      </c>
      <c r="O10" s="108">
        <f>COUNTIF(CleanedData!O2:O49,"high performance computing")</f>
        <v>4</v>
      </c>
      <c r="P10" s="109" t="str">
        <f ca="1">IFERROR(__xludf.DUMMYFUNCTION("JOIN ("", "", FILTER(CleanedData!N2:N49, CleanedData!O2:O49=""high performance computing""))"),"P41, P42, P44, P46")</f>
        <v>P41, P42, P44, P46</v>
      </c>
      <c r="S10" s="110" t="s">
        <v>1426</v>
      </c>
      <c r="T10" s="111">
        <f>COUNTIF(CleanedData!R2:R47,"big data analytics")</f>
        <v>5</v>
      </c>
      <c r="U10" s="106" t="str">
        <f ca="1">IFERROR(__xludf.DUMMYFUNCTION("JOIN ("", "", FILTER(CleanedData!Q2:Q47, CleanedData!R2:R47=""big data analytics""))"),"P13, P17, P21, P35, P43")</f>
        <v>P13, P17, P21, P35, P43</v>
      </c>
      <c r="V10" s="10"/>
      <c r="W10" s="10"/>
      <c r="Y10" s="113" t="s">
        <v>1867</v>
      </c>
    </row>
    <row r="11" spans="1:25" ht="14">
      <c r="A11" s="7"/>
      <c r="B11" s="7"/>
      <c r="C11" s="254"/>
      <c r="D11" s="3" t="s">
        <v>1439</v>
      </c>
      <c r="E11" s="3" t="str">
        <f ca="1">IFERROR(__xludf.DUMMYFUNCTION("JOIN ("", "", FILTER(CleanedData!G1:G108, CleanedData!L1:L108=""data management""))"),"P11, P12")</f>
        <v>P11, P12</v>
      </c>
      <c r="H11" s="254"/>
      <c r="I11" s="117" t="s">
        <v>1868</v>
      </c>
      <c r="J11" s="3">
        <f>COUNTIF(CleanedData!X2:X47,"supervised learning")</f>
        <v>5</v>
      </c>
      <c r="K11" s="107" t="str">
        <f ca="1">IFERROR(__xludf.DUMMYFUNCTION("JOIN ("", "", FILTER(CleanedData!W2:W47, CleanedData!X2:X47=""supervised learning""))"),"P27, P31, P34, P37, P45")</f>
        <v>P27, P31, P34, P37, P45</v>
      </c>
      <c r="N11" s="108" t="s">
        <v>1447</v>
      </c>
      <c r="O11" s="108">
        <f>COUNTIF(CleanedData!O2:O49,"distributed systems")</f>
        <v>2</v>
      </c>
      <c r="P11" s="109" t="str">
        <f ca="1">IFERROR(__xludf.DUMMYFUNCTION("JOIN ("", "", FILTER(CleanedData!N2:N49, CleanedData!O2:O49=""distributed systems""))"),"P40, P43")</f>
        <v>P40, P43</v>
      </c>
      <c r="S11" s="110" t="s">
        <v>1441</v>
      </c>
      <c r="T11" s="111">
        <f>COUNTIF(CleanedData!R2:R47,"data analytics")</f>
        <v>3</v>
      </c>
      <c r="U11" s="106" t="str">
        <f ca="1">IFERROR(__xludf.DUMMYFUNCTION("JOIN ("", "", FILTER(CleanedData!Q2:Q47, CleanedData!R2:R47=""data analytics""))"),"P32, P34, P38")</f>
        <v>P32, P34, P38</v>
      </c>
      <c r="V11" s="10"/>
      <c r="W11" s="10"/>
      <c r="Y11" s="113" t="s">
        <v>1867</v>
      </c>
    </row>
    <row r="12" spans="1:25" ht="14">
      <c r="A12" s="7"/>
      <c r="B12" s="7"/>
      <c r="C12" s="278" t="s">
        <v>1869</v>
      </c>
      <c r="D12" s="3" t="s">
        <v>1870</v>
      </c>
      <c r="E12" s="3" t="str">
        <f ca="1">IFERROR(__xludf.DUMMYFUNCTION("JOIN ("", "", FILTER(CleanedData!G1:G108, CleanedData!L1:L108=""support non ml experts""))"),"P2, P17, P24, P28, P34, P39")</f>
        <v>P2, P17, P24, P28, P34, P39</v>
      </c>
      <c r="H12" s="290" t="s">
        <v>1871</v>
      </c>
      <c r="I12" s="273"/>
      <c r="J12" s="3">
        <f>COUNTIF(CleanedData!X2:X47,"reinforcement learning")</f>
        <v>4</v>
      </c>
      <c r="K12" s="107" t="str">
        <f ca="1">IFERROR(__xludf.DUMMYFUNCTION("JOIN ("", "", FILTER(CleanedData!W2:W47, CleanedData!X2:X47=""reinforcement learning""))"),"P5, P18, P30, P40")</f>
        <v>P5, P18, P30, P40</v>
      </c>
      <c r="N12" s="108" t="s">
        <v>1436</v>
      </c>
      <c r="O12" s="108">
        <f>COUNTIF(CleanedData!O2:O49,"mobile")</f>
        <v>1</v>
      </c>
      <c r="P12" s="109" t="str">
        <f ca="1">IFERROR(__xludf.DUMMYFUNCTION("JOIN ("", "", FILTER(CleanedData!N2:N49, CleanedData!O2:O49=""mobile""))"),"P27")</f>
        <v>P27</v>
      </c>
      <c r="S12" s="110" t="s">
        <v>1444</v>
      </c>
      <c r="T12" s="111">
        <f>COUNTIF(CleanedData!R2:R47,"manufacturing")</f>
        <v>2</v>
      </c>
      <c r="U12" s="106" t="str">
        <f ca="1">IFERROR(__xludf.DUMMYFUNCTION("JOIN ("", "", FILTER(CleanedData!Q2:Q47, CleanedData!R2:R47=""manufacturing""))"),"P36, P45")</f>
        <v>P36, P45</v>
      </c>
      <c r="V12" s="10"/>
      <c r="W12" s="10"/>
      <c r="Y12" s="113" t="s">
        <v>1867</v>
      </c>
    </row>
    <row r="13" spans="1:25" ht="14">
      <c r="A13" s="7"/>
      <c r="B13" s="7"/>
      <c r="C13" s="254"/>
      <c r="D13" s="3" t="s">
        <v>1445</v>
      </c>
      <c r="E13" s="3" t="str">
        <f ca="1">IFERROR(__xludf.DUMMYFUNCTION("JOIN ("", "", FILTER(CleanedData!G1:G108, CleanedData!L1:L108=""common language""))"),"P14, P15, P32, P35, P36")</f>
        <v>P14, P15, P32, P35, P36</v>
      </c>
      <c r="N13" s="108" t="s">
        <v>1433</v>
      </c>
      <c r="O13" s="108">
        <f>COUNTIF(CleanedData!O2:O49,"wireless communication")</f>
        <v>1</v>
      </c>
      <c r="P13" s="109" t="str">
        <f ca="1">IFERROR(__xludf.DUMMYFUNCTION("JOIN ("", "", FILTER(CleanedData!N2:N49, CleanedData!O2:O49=""wireless communication""))"),"P25")</f>
        <v>P25</v>
      </c>
      <c r="S13" s="110" t="s">
        <v>1430</v>
      </c>
      <c r="T13" s="111">
        <f>COUNTIF(CleanedData!R2:R47,"smart homes")</f>
        <v>1</v>
      </c>
      <c r="U13" s="106" t="str">
        <f ca="1">IFERROR(__xludf.DUMMYFUNCTION("JOIN ("", "", FILTER(CleanedData!Q2:Q47, CleanedData!R2:R47=""smart homes""))"),"P20")</f>
        <v>P20</v>
      </c>
      <c r="Y13" s="113" t="s">
        <v>662</v>
      </c>
    </row>
    <row r="14" spans="1:25" ht="14">
      <c r="A14" s="7"/>
      <c r="B14" s="7"/>
      <c r="C14" s="278" t="s">
        <v>1872</v>
      </c>
      <c r="D14" s="3" t="s">
        <v>1873</v>
      </c>
      <c r="E14" s="106" t="str">
        <f ca="1">IFERROR(__xludf.DUMMYFUNCTION("JOIN ("", "", FILTER(CleanedData!G1:G108, CleanedData!L1:L108=""extendability""))"),"P1, P8, P25, P26")</f>
        <v>P1, P8, P25, P26</v>
      </c>
      <c r="L14" s="6"/>
      <c r="S14" s="110" t="s">
        <v>909</v>
      </c>
      <c r="T14" s="111">
        <f>COUNTIF(CleanedData!R2:R47,"social bots")</f>
        <v>1</v>
      </c>
      <c r="U14" s="106" t="str">
        <f ca="1">IFERROR(__xludf.DUMMYFUNCTION("JOIN ("", "", FILTER(CleanedData!Q2:Q47, CleanedData!R2:R47=""social bots""))"),"P24")</f>
        <v>P24</v>
      </c>
      <c r="Y14" s="113" t="s">
        <v>662</v>
      </c>
    </row>
    <row r="15" spans="1:25" ht="14">
      <c r="A15" s="7"/>
      <c r="B15" s="7"/>
      <c r="C15" s="258"/>
      <c r="D15" s="3" t="s">
        <v>1417</v>
      </c>
      <c r="E15" s="114" t="str">
        <f ca="1">IFERROR(__xludf.DUMMYFUNCTION("JOIN ("", "", FILTER(CleanedData!G1:G108, CleanedData!L1:L108=""responsible ml""))"),"P2, P3, P10")</f>
        <v>P2, P3, P10</v>
      </c>
      <c r="S15" s="110" t="s">
        <v>1438</v>
      </c>
      <c r="T15" s="111">
        <f>COUNTIF(CleanedData!R2:R47,"traffic signal control")</f>
        <v>1</v>
      </c>
      <c r="U15" s="106" t="str">
        <f ca="1">IFERROR(__xludf.DUMMYFUNCTION("JOIN ("", "", FILTER(CleanedData!Q2:Q47, CleanedData!R2:R47=""traffic signal control""))"),"P30")</f>
        <v>P30</v>
      </c>
      <c r="Y15" s="113" t="s">
        <v>662</v>
      </c>
    </row>
    <row r="16" spans="1:25" ht="14">
      <c r="A16" s="7"/>
      <c r="B16" s="7"/>
      <c r="C16" s="258"/>
      <c r="D16" s="3" t="s">
        <v>1429</v>
      </c>
      <c r="E16" s="3" t="str">
        <f ca="1">IFERROR(__xludf.DUMMYFUNCTION("JOIN ("", "", FILTER(CleanedData!G1:G108, CleanedData!L1:L108=""interoperability""))"),"P7, P45")</f>
        <v>P7, P45</v>
      </c>
      <c r="S16" s="110" t="s">
        <v>1874</v>
      </c>
      <c r="T16" s="111">
        <f>COUNTIF(CleanedData!R2:R47,"wireless communication")</f>
        <v>1</v>
      </c>
      <c r="U16" s="106" t="str">
        <f ca="1">IFERROR(__xludf.DUMMYFUNCTION("JOIN ("", "", FILTER(CleanedData!Q2:Q47, CleanedData!R2:R47=""wireless communication""))"),"P25")</f>
        <v>P25</v>
      </c>
      <c r="Y16" s="113" t="s">
        <v>662</v>
      </c>
    </row>
    <row r="17" spans="1:27" ht="70">
      <c r="A17" s="7"/>
      <c r="B17" s="7"/>
      <c r="C17" s="258"/>
      <c r="D17" s="3" t="s">
        <v>1403</v>
      </c>
      <c r="E17" s="3" t="str">
        <f ca="1">IFERROR(__xludf.DUMMYFUNCTION("JOIN ("", "", FILTER(CleanedData!G1:G108, CleanedData!L1:L108=""standardization""))"),"P1, P7, P10")</f>
        <v>P1, P7, P10</v>
      </c>
      <c r="H17" s="99"/>
      <c r="I17" s="99"/>
      <c r="J17" s="99"/>
      <c r="K17" s="99"/>
      <c r="L17" s="99"/>
      <c r="S17" s="110" t="s">
        <v>325</v>
      </c>
      <c r="T17" s="118">
        <f>COUNTIF(CleanedData!R2:R47,"not mentioned")</f>
        <v>22</v>
      </c>
      <c r="U17" s="106" t="str">
        <f ca="1">IFERROR(__xludf.DUMMYFUNCTION("JOIN ("", "", FILTER(CleanedData!Q2:Q47, CleanedData!R2:R47=""not mentioned""))"),"P2, P4, P6, P7, P10, P11, P14, P15, P16, P18, P19, P26, P27, P28, P29, P37, P39, P40, P41, P42, P44, P46")</f>
        <v>P2, P4, P6, P7, P10, P11, P14, P15, P16, P18, P19, P26, P27, P28, P29, P37, P39, P40, P41, P42, P44, P46</v>
      </c>
      <c r="Y17" s="113" t="s">
        <v>662</v>
      </c>
    </row>
    <row r="18" spans="1:27" ht="13">
      <c r="A18" s="7"/>
      <c r="B18" s="7"/>
      <c r="C18" s="258"/>
      <c r="D18" s="3" t="s">
        <v>1432</v>
      </c>
      <c r="E18" s="3" t="str">
        <f ca="1">IFERROR(__xludf.DUMMYFUNCTION("JOIN ("", "", FILTER(CleanedData!G1:G108, CleanedData!L1:L108=""reusability""))"),"P8, P19, P23, P25")</f>
        <v>P8, P19, P23, P25</v>
      </c>
      <c r="H18" s="99"/>
      <c r="Y18" s="113" t="s">
        <v>662</v>
      </c>
    </row>
    <row r="19" spans="1:27" ht="13">
      <c r="A19" s="7"/>
      <c r="B19" s="7"/>
      <c r="C19" s="258"/>
      <c r="D19" s="3" t="s">
        <v>1440</v>
      </c>
      <c r="E19" s="3" t="str">
        <f ca="1">IFERROR(__xludf.DUMMYFUNCTION("JOIN ("", "", FILTER(CleanedData!G1:G108, CleanedData!L1:L108=""maintenance""))"),"P11")</f>
        <v>P11</v>
      </c>
      <c r="H19" s="99"/>
      <c r="Y19" s="113" t="s">
        <v>662</v>
      </c>
    </row>
    <row r="20" spans="1:27" ht="13">
      <c r="A20" s="7"/>
      <c r="B20" s="7"/>
      <c r="C20" s="258"/>
      <c r="D20" s="3" t="s">
        <v>1347</v>
      </c>
      <c r="E20" s="3" t="str">
        <f ca="1">IFERROR(__xludf.DUMMYFUNCTION("JOIN ("", "", FILTER(CleanedData!G1:G108, CleanedData!L1:L108=""scalability""))"),"P16")</f>
        <v>P16</v>
      </c>
      <c r="H20" s="99"/>
      <c r="Y20" s="113" t="s">
        <v>1875</v>
      </c>
    </row>
    <row r="21" spans="1:27" ht="13">
      <c r="A21" s="7"/>
      <c r="B21" s="7"/>
      <c r="C21" s="254"/>
      <c r="D21" s="3" t="s">
        <v>1450</v>
      </c>
      <c r="E21" s="3" t="str">
        <f ca="1">IFERROR(__xludf.DUMMYFUNCTION("JOIN ("", "", FILTER(CleanedData!G1:G108, CleanedData!L1:L108=""reliability""))"),"P16")</f>
        <v>P16</v>
      </c>
      <c r="Y21" s="113" t="s">
        <v>1875</v>
      </c>
    </row>
    <row r="22" spans="1:27" ht="13">
      <c r="Y22" s="113" t="s">
        <v>1875</v>
      </c>
    </row>
    <row r="23" spans="1:27" ht="13">
      <c r="Y23" s="113" t="s">
        <v>1876</v>
      </c>
    </row>
    <row r="24" spans="1:27" ht="13">
      <c r="Y24" s="113" t="s">
        <v>1876</v>
      </c>
    </row>
    <row r="25" spans="1:27" ht="13">
      <c r="Y25" s="113" t="s">
        <v>1877</v>
      </c>
    </row>
    <row r="26" spans="1:27" ht="13">
      <c r="Y26" s="113" t="s">
        <v>1878</v>
      </c>
    </row>
    <row r="27" spans="1:27" ht="13">
      <c r="Y27" s="113" t="s">
        <v>1879</v>
      </c>
    </row>
    <row r="28" spans="1:27" ht="13">
      <c r="Y28" s="113" t="s">
        <v>1880</v>
      </c>
      <c r="Z28" s="7"/>
      <c r="AA28" s="7"/>
    </row>
    <row r="29" spans="1:27" ht="13">
      <c r="Y29" s="113" t="s">
        <v>1881</v>
      </c>
    </row>
    <row r="30" spans="1:27" ht="13">
      <c r="Y30" s="113" t="s">
        <v>483</v>
      </c>
    </row>
    <row r="31" spans="1:27" ht="13">
      <c r="Y31" s="113" t="s">
        <v>483</v>
      </c>
    </row>
    <row r="32" spans="1:27" ht="13">
      <c r="Y32" s="113" t="s">
        <v>483</v>
      </c>
    </row>
    <row r="33" spans="1:25" ht="13">
      <c r="H33" s="7"/>
      <c r="I33" s="6"/>
      <c r="Y33" s="113" t="s">
        <v>483</v>
      </c>
    </row>
    <row r="34" spans="1:25" ht="13">
      <c r="H34" s="7"/>
      <c r="I34" s="6"/>
      <c r="Y34" s="113" t="s">
        <v>483</v>
      </c>
    </row>
    <row r="35" spans="1:25" ht="14">
      <c r="H35" s="53" t="s">
        <v>1882</v>
      </c>
      <c r="I35" s="53" t="s">
        <v>1469</v>
      </c>
      <c r="J35" s="4" t="s">
        <v>1841</v>
      </c>
      <c r="Y35" s="113" t="s">
        <v>483</v>
      </c>
    </row>
    <row r="36" spans="1:25" ht="84">
      <c r="H36" s="3" t="s">
        <v>1883</v>
      </c>
      <c r="I36" s="107" t="s">
        <v>1884</v>
      </c>
      <c r="J36" s="3">
        <v>29</v>
      </c>
      <c r="Y36" s="113" t="s">
        <v>483</v>
      </c>
    </row>
    <row r="37" spans="1:25" ht="28">
      <c r="H37" s="3" t="s">
        <v>1885</v>
      </c>
      <c r="I37" s="107" t="s">
        <v>1886</v>
      </c>
      <c r="J37" s="3">
        <v>6</v>
      </c>
      <c r="Y37" s="113" t="s">
        <v>483</v>
      </c>
    </row>
    <row r="38" spans="1:25" ht="14">
      <c r="H38" s="3" t="s">
        <v>1887</v>
      </c>
      <c r="I38" s="107" t="s">
        <v>1888</v>
      </c>
      <c r="J38" s="3">
        <v>4</v>
      </c>
      <c r="Y38" s="113" t="s">
        <v>483</v>
      </c>
    </row>
    <row r="39" spans="1:25" ht="14">
      <c r="H39" s="3" t="s">
        <v>1889</v>
      </c>
      <c r="I39" s="107" t="s">
        <v>1890</v>
      </c>
      <c r="J39" s="3">
        <v>5</v>
      </c>
      <c r="Y39" s="113" t="s">
        <v>483</v>
      </c>
    </row>
    <row r="40" spans="1:25" ht="14">
      <c r="H40" s="3" t="s">
        <v>1891</v>
      </c>
      <c r="I40" s="107" t="s">
        <v>1892</v>
      </c>
      <c r="J40" s="3">
        <v>1</v>
      </c>
      <c r="Y40" s="113" t="s">
        <v>483</v>
      </c>
    </row>
    <row r="41" spans="1:25" ht="14">
      <c r="H41" s="3" t="s">
        <v>1893</v>
      </c>
      <c r="I41" s="107" t="s">
        <v>1894</v>
      </c>
      <c r="J41" s="3">
        <v>1</v>
      </c>
      <c r="Y41" s="113" t="s">
        <v>483</v>
      </c>
    </row>
    <row r="42" spans="1:25" ht="13">
      <c r="Y42" s="113" t="s">
        <v>483</v>
      </c>
    </row>
    <row r="43" spans="1:25" ht="13">
      <c r="Y43" s="113" t="s">
        <v>483</v>
      </c>
    </row>
    <row r="44" spans="1:25" ht="13">
      <c r="Y44" s="113" t="s">
        <v>483</v>
      </c>
    </row>
    <row r="45" spans="1:25" ht="16">
      <c r="A45" s="119"/>
      <c r="B45" s="288" t="s">
        <v>1895</v>
      </c>
      <c r="C45" s="280"/>
      <c r="D45" s="280"/>
      <c r="E45" s="280"/>
      <c r="F45" s="281"/>
      <c r="H45" s="279" t="s">
        <v>1896</v>
      </c>
      <c r="I45" s="280"/>
      <c r="J45" s="280"/>
      <c r="K45" s="281"/>
      <c r="L45" s="120"/>
      <c r="M45" s="287" t="s">
        <v>1897</v>
      </c>
      <c r="N45" s="280"/>
      <c r="O45" s="280"/>
      <c r="P45" s="281"/>
      <c r="S45" s="120"/>
      <c r="T45" s="120"/>
      <c r="U45" s="120"/>
      <c r="V45" s="120"/>
      <c r="W45" s="120"/>
      <c r="Y45" s="113" t="s">
        <v>483</v>
      </c>
    </row>
    <row r="46" spans="1:25" ht="16">
      <c r="A46" s="119"/>
      <c r="B46" s="282"/>
      <c r="C46" s="268"/>
      <c r="D46" s="268"/>
      <c r="E46" s="268"/>
      <c r="F46" s="283"/>
      <c r="H46" s="282"/>
      <c r="I46" s="268"/>
      <c r="J46" s="268"/>
      <c r="K46" s="283"/>
      <c r="L46" s="120"/>
      <c r="M46" s="282"/>
      <c r="N46" s="268"/>
      <c r="O46" s="268"/>
      <c r="P46" s="283"/>
      <c r="S46" s="120"/>
      <c r="T46" s="120"/>
      <c r="U46" s="120"/>
      <c r="V46" s="120"/>
      <c r="W46" s="120"/>
      <c r="Y46" s="113" t="s">
        <v>483</v>
      </c>
    </row>
    <row r="47" spans="1:25" ht="16">
      <c r="A47" s="119"/>
      <c r="B47" s="284"/>
      <c r="C47" s="285"/>
      <c r="D47" s="285"/>
      <c r="E47" s="285"/>
      <c r="F47" s="286"/>
      <c r="H47" s="284"/>
      <c r="I47" s="285"/>
      <c r="J47" s="285"/>
      <c r="K47" s="286"/>
      <c r="L47" s="120"/>
      <c r="M47" s="284"/>
      <c r="N47" s="285"/>
      <c r="O47" s="285"/>
      <c r="P47" s="286"/>
      <c r="S47" s="120"/>
      <c r="T47" s="120"/>
      <c r="U47" s="120"/>
      <c r="V47" s="120"/>
      <c r="W47" s="120"/>
      <c r="Y47" s="113" t="s">
        <v>483</v>
      </c>
    </row>
    <row r="48" spans="1:25" ht="14">
      <c r="A48" s="121"/>
      <c r="B48" s="121"/>
      <c r="C48" s="121"/>
      <c r="D48" s="274" t="s">
        <v>1898</v>
      </c>
      <c r="E48" s="268"/>
      <c r="H48" s="120"/>
      <c r="I48" s="120"/>
      <c r="J48" s="120"/>
      <c r="K48" s="120"/>
      <c r="N48" s="270" t="s">
        <v>1899</v>
      </c>
      <c r="O48" s="268"/>
      <c r="P48" s="268"/>
      <c r="Y48" s="113" t="s">
        <v>483</v>
      </c>
    </row>
    <row r="49" spans="1:25" ht="14">
      <c r="A49" s="122"/>
      <c r="B49" s="276" t="s">
        <v>1900</v>
      </c>
      <c r="C49" s="272"/>
      <c r="D49" s="273"/>
      <c r="E49" s="124" t="s">
        <v>1469</v>
      </c>
      <c r="M49" s="3" t="s">
        <v>1901</v>
      </c>
      <c r="N49" s="95" t="s">
        <v>1902</v>
      </c>
      <c r="O49" s="95" t="s">
        <v>1841</v>
      </c>
      <c r="P49" s="95" t="s">
        <v>1469</v>
      </c>
      <c r="R49" s="53" t="s">
        <v>1882</v>
      </c>
      <c r="S49" s="53" t="s">
        <v>1469</v>
      </c>
      <c r="T49" s="4" t="s">
        <v>1841</v>
      </c>
      <c r="Y49" s="113" t="s">
        <v>483</v>
      </c>
    </row>
    <row r="50" spans="1:25" ht="56">
      <c r="A50" s="19"/>
      <c r="B50" s="271" t="s">
        <v>1405</v>
      </c>
      <c r="C50" s="272"/>
      <c r="D50" s="273"/>
      <c r="E50" s="114" t="str">
        <f ca="1">IFERROR(__xludf.DUMMYFUNCTION("JOIN ("", "", FILTER(CleanedData!Z2:Z148, CleanedData!AA2:AA148=""DSL""))"),"P1, P2, P6, P7, P10, P11, P13, P14, P15, P16, P19, P21, P25, P26, P27, P28, P29, P30, P32, P35, P36, P37, P38, P39, P40, P41, P42, P43, P44, P46")</f>
        <v>P1, P2, P6, P7, P10, P11, P13, P14, P15, P16, P19, P21, P25, P26, P27, P28, P29, P30, P32, P35, P36, P37, P38, P39, P40, P41, P42, P43, P44, P46</v>
      </c>
      <c r="M50" s="277" t="s">
        <v>1903</v>
      </c>
      <c r="N50" s="3" t="s">
        <v>620</v>
      </c>
      <c r="O50" s="3">
        <f>COUNTIF(CleanedData!U2:U64,"ML experts")</f>
        <v>18</v>
      </c>
      <c r="P50" s="107" t="str">
        <f ca="1">IFERROR(__xludf.DUMMYFUNCTION("JOIN ("", "", FILTER(CleanedData!T2:T64, CleanedData!U2:U64=""ML experts""))"),"P1, P5, P6, P7, P8, P10, P11, P12, P13, P15, P25, P37, P40, P41, P42, P43, P44, P46")</f>
        <v>P1, P5, P6, P7, P8, P10, P11, P12, P13, P15, P25, P37, P40, P41, P42, P43, P44, P46</v>
      </c>
      <c r="R50" s="53" t="s">
        <v>1904</v>
      </c>
      <c r="S50" s="53" t="s">
        <v>1905</v>
      </c>
      <c r="T50" s="4">
        <v>18</v>
      </c>
      <c r="Y50" s="113" t="s">
        <v>483</v>
      </c>
    </row>
    <row r="51" spans="1:25" ht="42">
      <c r="A51" s="19"/>
      <c r="B51" s="271" t="s">
        <v>1411</v>
      </c>
      <c r="C51" s="272"/>
      <c r="D51" s="273"/>
      <c r="E51" s="114" t="str">
        <f ca="1">IFERROR(__xludf.DUMMYFUNCTION("JOIN ("", "", FILTER(CleanedData!Z2:Z148, CleanedData!AA2:AA148=""framework""))"),"P1, P3, P5, P7, P8, P12, P13, P18, P19, P23, P24, P25, P26, P27, P29, P31, P34, P36, P37, P38, P44")</f>
        <v>P1, P3, P5, P7, P8, P12, P13, P18, P19, P23, P24, P25, P26, P27, P29, P31, P34, P36, P37, P38, P44</v>
      </c>
      <c r="M51" s="254"/>
      <c r="N51" s="3" t="s">
        <v>1415</v>
      </c>
      <c r="O51" s="3">
        <f>COUNTIF(CleanedData!U2:U64,"data analysts/engineers/scientists")</f>
        <v>13</v>
      </c>
      <c r="P51" s="107" t="str">
        <f ca="1">IFERROR(__xludf.DUMMYFUNCTION("JOIN ("", "", FILTER(CleanedData!T2:T64, CleanedData!U2:U64=""data analysts/engineers/scientists""))"),"P2, P10, P12, P14, P16, P18, P22, P24, P32, P34, P35, P36, P38")</f>
        <v>P2, P10, P12, P14, P16, P18, P22, P24, P32, P34, P35, P36, P38</v>
      </c>
      <c r="R51" s="53" t="s">
        <v>1906</v>
      </c>
      <c r="S51" s="53" t="s">
        <v>1907</v>
      </c>
      <c r="T51" s="4">
        <v>11</v>
      </c>
      <c r="Y51" s="113" t="s">
        <v>483</v>
      </c>
    </row>
    <row r="52" spans="1:25" ht="56">
      <c r="A52" s="126"/>
      <c r="B52" s="275" t="s">
        <v>1908</v>
      </c>
      <c r="C52" s="275" t="s">
        <v>1909</v>
      </c>
      <c r="D52" s="57" t="s">
        <v>692</v>
      </c>
      <c r="E52" s="127" t="str">
        <f ca="1">IFERROR(__xludf.DUMMYFUNCTION("JOIN ("", "", FILTER(CleanedData!Z2:Z148, CleanedData!AA2:AA148=""code generator""))"),"P1, P2, P4, P5, P7, P8, P9, P11, P12, P13, P14, P16, P17, P19, P20, P22, P23, P24, P25, P27, P28, P30, P31, P32, P34, P35, P37, P38, P39, P41, P42, P43, P44, P45, P46")</f>
        <v>P1, P2, P4, P5, P7, P8, P9, P11, P12, P13, P14, P16, P17, P19, P20, P22, P23, P24, P25, P27, P28, P30, P31, P32, P34, P35, P37, P38, P39, P41, P42, P43, P44, P45, P46</v>
      </c>
      <c r="F52" s="6"/>
      <c r="G52" s="6"/>
      <c r="M52" s="278" t="s">
        <v>1910</v>
      </c>
      <c r="N52" s="3" t="s">
        <v>1409</v>
      </c>
      <c r="O52" s="3">
        <f>COUNTIF(CleanedData!U2:U64,"software engineers")</f>
        <v>16</v>
      </c>
      <c r="P52" s="107" t="str">
        <f ca="1">IFERROR(__xludf.DUMMYFUNCTION("JOIN ("", "", FILTER(CleanedData!T2:T64, CleanedData!U2:U64=""software engineers""))"),"P1, P2, P3, P4, P9, P11, P13, P19, P20, P22, P23, P27, P28, P29, P30, P39")</f>
        <v>P1, P2, P3, P4, P9, P11, P13, P19, P20, P22, P23, P27, P28, P29, P30, P39</v>
      </c>
      <c r="R52" s="53" t="s">
        <v>1911</v>
      </c>
      <c r="S52" s="53" t="s">
        <v>1912</v>
      </c>
      <c r="T52" s="4">
        <v>4</v>
      </c>
      <c r="Y52" s="128"/>
    </row>
    <row r="53" spans="1:25" ht="28">
      <c r="A53" s="126"/>
      <c r="B53" s="258"/>
      <c r="C53" s="254"/>
      <c r="D53" s="57" t="s">
        <v>1423</v>
      </c>
      <c r="E53" s="70" t="str">
        <f ca="1">IFERROR(__xludf.DUMMYFUNCTION("JOIN ("", "", FILTER(CleanedData!Z2:Z148, CleanedData!AA2:AA148=""text generator""))"),"P3, P6, P10, P15, P21, P26, P35, P36")</f>
        <v>P3, P6, P10, P15, P21, P26, P35, P36</v>
      </c>
      <c r="F53" s="8"/>
      <c r="G53" s="8"/>
      <c r="M53" s="258"/>
      <c r="N53" s="3" t="s">
        <v>1425</v>
      </c>
      <c r="O53" s="3">
        <f>COUNTIF(CleanedData!U2:U64,"system engineers")</f>
        <v>3</v>
      </c>
      <c r="P53" s="107" t="str">
        <f ca="1">IFERROR(__xludf.DUMMYFUNCTION("JOIN ("", "", FILTER(CleanedData!T2:T64, CleanedData!U2:U64=""system engineers""))"),"P9, P31, P33")</f>
        <v>P9, P31, P33</v>
      </c>
      <c r="R53" s="53" t="s">
        <v>1913</v>
      </c>
      <c r="S53" s="53" t="s">
        <v>1914</v>
      </c>
      <c r="T53" s="4">
        <v>6</v>
      </c>
      <c r="Y53" s="128"/>
    </row>
    <row r="54" spans="1:25" ht="14">
      <c r="A54" s="126"/>
      <c r="B54" s="254"/>
      <c r="C54" s="129" t="s">
        <v>1915</v>
      </c>
      <c r="D54" s="57" t="s">
        <v>1416</v>
      </c>
      <c r="E54" s="70" t="str">
        <f ca="1">IFERROR(__xludf.DUMMYFUNCTION("JOIN ("", "", FILTER(CleanedData!Z2:Z148, CleanedData!AA2:AA148=""model generator""))"),"P1, P3, P4, P18, P25, P29, P33, P40, P41, P42")</f>
        <v>P1, P3, P4, P18, P25, P29, P33, P40, P41, P42</v>
      </c>
      <c r="G54" s="6"/>
      <c r="M54" s="258"/>
      <c r="N54" s="3" t="s">
        <v>1454</v>
      </c>
      <c r="O54" s="3">
        <f>COUNTIF(CleanedData!U2:U64,"business analysts")</f>
        <v>1</v>
      </c>
      <c r="P54" s="107" t="str">
        <f ca="1">IFERROR(__xludf.DUMMYFUNCTION("JOIN ("", "", FILTER(CleanedData!T2:T64, CleanedData!U2:U64=""business analysts""))"),"P35")</f>
        <v>P35</v>
      </c>
      <c r="R54" s="53" t="s">
        <v>1916</v>
      </c>
      <c r="S54" s="53" t="s">
        <v>1917</v>
      </c>
      <c r="T54" s="4">
        <v>4</v>
      </c>
      <c r="Y54" s="128"/>
    </row>
    <row r="55" spans="1:25" ht="18" customHeight="1">
      <c r="A55" s="19"/>
      <c r="B55" s="271" t="s">
        <v>1428</v>
      </c>
      <c r="C55" s="272"/>
      <c r="D55" s="273"/>
      <c r="E55" s="114" t="str">
        <f ca="1">IFERROR(__xludf.DUMMYFUNCTION("JOIN ("", "", FILTER(CleanedData!Z2:Z148, CleanedData!AA2:AA148=""modeling language extension""))"),"P5, P17, P22, P33, P45")</f>
        <v>P5, P17, P22, P33, P45</v>
      </c>
      <c r="G55" s="6"/>
      <c r="M55" s="258"/>
      <c r="N55" s="3" t="s">
        <v>1431</v>
      </c>
      <c r="O55" s="3">
        <f>COUNTIF(CleanedData!U2:U64,"formal methods analysts")</f>
        <v>1</v>
      </c>
      <c r="P55" s="107" t="str">
        <f ca="1">IFERROR(__xludf.DUMMYFUNCTION("JOIN ("", "", FILTER(CleanedData!T2:T64, CleanedData!U2:U64=""formal methods analysts""))"),"P14")</f>
        <v>P14</v>
      </c>
      <c r="R55" s="53" t="s">
        <v>1918</v>
      </c>
      <c r="S55" s="53" t="s">
        <v>1919</v>
      </c>
      <c r="T55" s="4">
        <v>2</v>
      </c>
      <c r="Y55" s="128"/>
    </row>
    <row r="56" spans="1:25" ht="42">
      <c r="A56" s="19"/>
      <c r="B56" s="271" t="s">
        <v>1026</v>
      </c>
      <c r="C56" s="272"/>
      <c r="D56" s="273"/>
      <c r="E56" s="114" t="str">
        <f ca="1">IFERROR(__xludf.DUMMYFUNCTION("JOIN ("", "", FILTER(CleanedData!Z2:Z148, CleanedData!AA2:AA148=""model""))"),"P4, P11, P13, P20, P31, P37")</f>
        <v>P4, P11, P13, P20, P31, P37</v>
      </c>
      <c r="H56" s="99"/>
      <c r="I56" s="99"/>
      <c r="J56" s="99"/>
      <c r="K56" s="99"/>
      <c r="M56" s="130" t="s">
        <v>1920</v>
      </c>
      <c r="N56" s="115" t="s">
        <v>1354</v>
      </c>
      <c r="O56" s="115">
        <f>COUNTIF(CleanedData!U2:U64,"domain experts")</f>
        <v>11</v>
      </c>
      <c r="P56" s="116" t="str">
        <f ca="1">IFERROR(__xludf.DUMMYFUNCTION("JOIN ("", "", FILTER(CleanedData!T2:T64, CleanedData!U2:U64=""domain experts""))"),"P17, P21, P24, P25, P26, P28, P30, P32, P35, P36, P45")</f>
        <v>P17, P21, P24, P25, P26, P28, P30, P32, P35, P36, P45</v>
      </c>
      <c r="R56" s="53" t="s">
        <v>1921</v>
      </c>
      <c r="S56" s="53" t="s">
        <v>1892</v>
      </c>
      <c r="T56" s="4">
        <v>1</v>
      </c>
      <c r="Y56" s="128"/>
    </row>
    <row r="57" spans="1:25" ht="14">
      <c r="A57" s="19"/>
      <c r="B57" s="271" t="s">
        <v>1922</v>
      </c>
      <c r="C57" s="272"/>
      <c r="D57" s="273"/>
      <c r="E57" s="114" t="str">
        <f ca="1">IFERROR(__xludf.DUMMYFUNCTION("JOIN ("", "", FILTER(CleanedData!Z2:Z148, CleanedData!AA2:AA148=""meta-modeling language""))"),"P23")</f>
        <v>P23</v>
      </c>
      <c r="H57" s="7"/>
      <c r="I57" s="7"/>
      <c r="J57" s="7"/>
      <c r="K57" s="7"/>
      <c r="N57" s="131"/>
      <c r="O57" s="131"/>
      <c r="P57" s="132"/>
      <c r="Q57" s="330"/>
      <c r="Y57" s="128"/>
    </row>
    <row r="58" spans="1:25" ht="14">
      <c r="A58" s="19"/>
      <c r="B58" s="271" t="s">
        <v>1460</v>
      </c>
      <c r="C58" s="272"/>
      <c r="D58" s="273"/>
      <c r="E58" s="114" t="str">
        <f ca="1">IFERROR(__xludf.DUMMYFUNCTION("JOIN ("", "", FILTER(CleanedData!Z2:Z148, CleanedData!AA2:AA148=""OCL constraints""))"),"P27")</f>
        <v>P27</v>
      </c>
      <c r="H58" s="7"/>
      <c r="I58" s="7"/>
      <c r="J58" s="7"/>
      <c r="K58" s="7"/>
      <c r="N58" s="7"/>
      <c r="P58" s="6"/>
      <c r="Q58" s="331"/>
      <c r="Y58" s="128"/>
    </row>
    <row r="59" spans="1:25" ht="14">
      <c r="A59" s="19"/>
      <c r="B59" s="271" t="s">
        <v>1461</v>
      </c>
      <c r="C59" s="272"/>
      <c r="D59" s="273"/>
      <c r="E59" s="114" t="str">
        <f ca="1">IFERROR(__xludf.DUMMYFUNCTION("JOIN ("", "", FILTER(CleanedData!Z2:Z148, CleanedData!AA2:AA148=""data synthesizer""))"),"P31, P39, P45")</f>
        <v>P31, P39, P45</v>
      </c>
      <c r="H59" s="7"/>
      <c r="I59" s="7"/>
      <c r="J59" s="7"/>
      <c r="K59" s="7"/>
      <c r="N59" s="10"/>
      <c r="O59" s="10"/>
      <c r="Q59" s="332"/>
      <c r="Y59" s="128"/>
    </row>
    <row r="60" spans="1:25" ht="14">
      <c r="A60" s="19"/>
      <c r="B60" s="271" t="s">
        <v>1537</v>
      </c>
      <c r="C60" s="272"/>
      <c r="D60" s="273"/>
      <c r="E60" s="114" t="str">
        <f ca="1">IFERROR(__xludf.DUMMYFUNCTION("JOIN ("", "", FILTER(CleanedData!Z2:Z148, CleanedData!AA2:AA148=""api""))"),"P40")</f>
        <v>P40</v>
      </c>
      <c r="H60" s="7"/>
      <c r="I60" s="7"/>
      <c r="J60" s="7"/>
      <c r="K60" s="7"/>
      <c r="N60" s="10"/>
      <c r="O60" s="10"/>
      <c r="Q60" s="330"/>
      <c r="Y60" s="128"/>
    </row>
    <row r="61" spans="1:25" ht="14">
      <c r="A61" s="19"/>
      <c r="B61" s="271" t="s">
        <v>1453</v>
      </c>
      <c r="C61" s="272"/>
      <c r="D61" s="273"/>
      <c r="E61" s="3" t="str">
        <f ca="1">IFERROR(__xludf.DUMMYFUNCTION("JOIN ("", "", FILTER(CleanedData!Z2:Z148, CleanedData!AA2:AA148=""knowledge base""))"),"P15, P16, P20, P34")</f>
        <v>P15, P16, P20, P34</v>
      </c>
      <c r="H61" s="7"/>
      <c r="I61" s="7"/>
      <c r="J61" s="7"/>
      <c r="K61" s="7"/>
      <c r="N61" s="10"/>
      <c r="O61" s="10"/>
      <c r="Y61" s="128"/>
    </row>
    <row r="62" spans="1:25" ht="14">
      <c r="A62" s="19"/>
      <c r="B62" s="271" t="s">
        <v>1435</v>
      </c>
      <c r="C62" s="272"/>
      <c r="D62" s="273"/>
      <c r="E62" s="3" t="str">
        <f ca="1">IFERROR(__xludf.DUMMYFUNCTION("JOIN ("", "", FILTER(CleanedData!Z2:Z148, CleanedData!AA2:AA148=""modeling approach""))"),"P9, P11, P14, P16, P20, P30")</f>
        <v>P9, P11, P14, P16, P20, P30</v>
      </c>
      <c r="H62" s="7"/>
      <c r="I62" s="7"/>
      <c r="J62" s="7"/>
      <c r="K62" s="7"/>
      <c r="Y62" s="128"/>
    </row>
    <row r="63" spans="1:25" ht="14">
      <c r="A63" s="19"/>
      <c r="B63" s="19"/>
      <c r="C63" s="19"/>
      <c r="H63" s="7"/>
      <c r="I63" s="7"/>
      <c r="J63" s="7"/>
      <c r="K63" s="7"/>
      <c r="Y63" s="128"/>
    </row>
    <row r="64" spans="1:25" ht="13">
      <c r="H64" s="7"/>
      <c r="I64" s="7"/>
      <c r="J64" s="7"/>
      <c r="K64" s="7"/>
      <c r="Y64" s="128"/>
    </row>
    <row r="65" spans="8:25" ht="13">
      <c r="H65" s="7"/>
      <c r="I65" s="7"/>
      <c r="J65" s="7"/>
      <c r="K65" s="7"/>
      <c r="Y65" s="128"/>
    </row>
    <row r="66" spans="8:25" ht="13">
      <c r="H66" s="7"/>
      <c r="I66" s="7"/>
      <c r="J66" s="7"/>
      <c r="K66" s="7"/>
      <c r="Y66" s="128"/>
    </row>
    <row r="67" spans="8:25" ht="13">
      <c r="H67" s="7"/>
      <c r="I67" s="7"/>
      <c r="J67" s="7"/>
      <c r="K67" s="7"/>
      <c r="Y67" s="128"/>
    </row>
    <row r="68" spans="8:25" ht="13">
      <c r="Y68" s="128"/>
    </row>
    <row r="69" spans="8:25" ht="13">
      <c r="H69" s="99"/>
      <c r="I69" s="99"/>
      <c r="J69" s="99"/>
      <c r="K69" s="99"/>
      <c r="Y69" s="128"/>
    </row>
    <row r="70" spans="8:25" ht="15">
      <c r="H70" s="101" t="s">
        <v>1923</v>
      </c>
      <c r="I70" s="133" t="s">
        <v>1836</v>
      </c>
      <c r="J70" s="7"/>
      <c r="K70" s="7"/>
      <c r="Y70" s="128"/>
    </row>
    <row r="71" spans="8:25" ht="70">
      <c r="H71" s="107" t="s">
        <v>1924</v>
      </c>
      <c r="I71" s="107" t="s">
        <v>1925</v>
      </c>
      <c r="J71" s="7"/>
      <c r="K71" s="7"/>
      <c r="Y71" s="128"/>
    </row>
    <row r="72" spans="8:25" ht="14">
      <c r="H72" s="107" t="s">
        <v>1926</v>
      </c>
      <c r="I72" s="107" t="s">
        <v>1927</v>
      </c>
      <c r="J72" s="7"/>
      <c r="K72" s="7"/>
      <c r="Y72" s="128"/>
    </row>
    <row r="73" spans="8:25" ht="14">
      <c r="H73" s="107" t="s">
        <v>1928</v>
      </c>
      <c r="I73" s="107" t="s">
        <v>1929</v>
      </c>
      <c r="J73" s="7"/>
      <c r="K73" s="7"/>
      <c r="Y73" s="128"/>
    </row>
    <row r="74" spans="8:25" ht="28">
      <c r="H74" s="107" t="s">
        <v>1930</v>
      </c>
      <c r="I74" s="107" t="s">
        <v>1931</v>
      </c>
      <c r="J74" s="7"/>
      <c r="K74" s="7"/>
      <c r="Y74" s="128"/>
    </row>
    <row r="75" spans="8:25" ht="28">
      <c r="H75" s="107" t="s">
        <v>1932</v>
      </c>
      <c r="I75" s="107" t="s">
        <v>1933</v>
      </c>
      <c r="J75" s="7"/>
      <c r="K75" s="7"/>
      <c r="Y75" s="128"/>
    </row>
    <row r="76" spans="8:25" ht="14">
      <c r="H76" s="107" t="s">
        <v>1934</v>
      </c>
      <c r="I76" s="134">
        <v>0</v>
      </c>
      <c r="J76" s="7"/>
      <c r="K76" s="7"/>
      <c r="Y76" s="128"/>
    </row>
    <row r="77" spans="8:25" ht="14">
      <c r="H77" s="107" t="s">
        <v>1935</v>
      </c>
      <c r="I77" s="107" t="s">
        <v>1936</v>
      </c>
      <c r="J77" s="7"/>
      <c r="K77" s="7"/>
      <c r="Y77" s="128"/>
    </row>
    <row r="78" spans="8:25" ht="13">
      <c r="H78" s="7"/>
      <c r="I78" s="7"/>
      <c r="J78" s="7"/>
      <c r="K78" s="7"/>
      <c r="Y78" s="128"/>
    </row>
    <row r="79" spans="8:25" ht="13">
      <c r="H79" s="7"/>
      <c r="I79" s="7"/>
      <c r="J79" s="7"/>
      <c r="K79" s="7"/>
      <c r="Y79" s="128"/>
    </row>
    <row r="80" spans="8:25" ht="13">
      <c r="H80" s="7"/>
      <c r="I80" s="7"/>
      <c r="J80" s="7"/>
      <c r="K80" s="7"/>
      <c r="Y80" s="128"/>
    </row>
    <row r="81" spans="8:25" ht="13">
      <c r="H81" s="7"/>
      <c r="I81" s="7"/>
      <c r="J81" s="7"/>
      <c r="K81" s="7"/>
      <c r="Y81" s="128"/>
    </row>
    <row r="82" spans="8:25" ht="13">
      <c r="H82" s="7"/>
      <c r="J82" s="7"/>
      <c r="K82" s="7"/>
      <c r="Y82" s="128"/>
    </row>
    <row r="83" spans="8:25" ht="13">
      <c r="H83" s="7"/>
      <c r="I83" s="7"/>
      <c r="J83" s="7"/>
      <c r="K83" s="7"/>
      <c r="Y83" s="128"/>
    </row>
    <row r="84" spans="8:25" ht="13">
      <c r="H84" s="7"/>
      <c r="I84" s="7"/>
      <c r="J84" s="7"/>
      <c r="K84" s="7"/>
      <c r="Y84" s="128"/>
    </row>
    <row r="85" spans="8:25" ht="13">
      <c r="H85" s="7"/>
      <c r="J85" s="7"/>
      <c r="K85" s="7"/>
      <c r="Y85" s="128"/>
    </row>
    <row r="86" spans="8:25" ht="13">
      <c r="H86" s="7"/>
      <c r="J86" s="7"/>
      <c r="K86" s="7"/>
      <c r="Y86" s="128"/>
    </row>
    <row r="87" spans="8:25" ht="13">
      <c r="H87" s="7"/>
      <c r="J87" s="7"/>
      <c r="K87" s="7"/>
      <c r="Y87" s="128"/>
    </row>
    <row r="88" spans="8:25" ht="13">
      <c r="H88" s="7"/>
      <c r="J88" s="7"/>
      <c r="K88" s="7"/>
      <c r="Y88" s="128"/>
    </row>
    <row r="89" spans="8:25" ht="13">
      <c r="H89" s="7"/>
      <c r="I89" s="7"/>
      <c r="J89" s="7"/>
      <c r="K89" s="7"/>
      <c r="Y89" s="128"/>
    </row>
    <row r="90" spans="8:25" ht="13">
      <c r="Y90" s="128"/>
    </row>
  </sheetData>
  <mergeCells count="39">
    <mergeCell ref="C1:E3"/>
    <mergeCell ref="H1:K3"/>
    <mergeCell ref="N1:P3"/>
    <mergeCell ref="S1:U3"/>
    <mergeCell ref="D4:E4"/>
    <mergeCell ref="N4:P4"/>
    <mergeCell ref="S4:U4"/>
    <mergeCell ref="H4:K4"/>
    <mergeCell ref="H5:I5"/>
    <mergeCell ref="C6:C11"/>
    <mergeCell ref="H6:I6"/>
    <mergeCell ref="H7:I7"/>
    <mergeCell ref="I8:I9"/>
    <mergeCell ref="C12:C13"/>
    <mergeCell ref="C14:C21"/>
    <mergeCell ref="H8:H11"/>
    <mergeCell ref="H12:I12"/>
    <mergeCell ref="N48:P48"/>
    <mergeCell ref="J8:J9"/>
    <mergeCell ref="K8:K9"/>
    <mergeCell ref="M50:M51"/>
    <mergeCell ref="M52:M55"/>
    <mergeCell ref="H45:K47"/>
    <mergeCell ref="M45:P47"/>
    <mergeCell ref="B56:D56"/>
    <mergeCell ref="B45:F47"/>
    <mergeCell ref="B62:D62"/>
    <mergeCell ref="D48:E48"/>
    <mergeCell ref="B52:B54"/>
    <mergeCell ref="C52:C53"/>
    <mergeCell ref="B49:D49"/>
    <mergeCell ref="B50:D50"/>
    <mergeCell ref="B51:D51"/>
    <mergeCell ref="B55:D55"/>
    <mergeCell ref="B57:D57"/>
    <mergeCell ref="B58:D58"/>
    <mergeCell ref="B59:D59"/>
    <mergeCell ref="B60:D60"/>
    <mergeCell ref="B61:D6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90"/>
  <sheetViews>
    <sheetView topLeftCell="E1" workbookViewId="0">
      <selection activeCell="J140" sqref="J140"/>
    </sheetView>
  </sheetViews>
  <sheetFormatPr baseColWidth="10" defaultColWidth="12.6640625" defaultRowHeight="15.75" customHeight="1"/>
  <cols>
    <col min="1" max="1" width="31.5" customWidth="1"/>
    <col min="2" max="2" width="23.1640625" customWidth="1"/>
    <col min="3" max="3" width="12.6640625" customWidth="1"/>
    <col min="4" max="4" width="16" customWidth="1"/>
    <col min="5" max="5" width="58.6640625" customWidth="1"/>
    <col min="6" max="6" width="8.6640625" customWidth="1"/>
    <col min="7" max="7" width="24.83203125" customWidth="1"/>
    <col min="8" max="8" width="6.1640625" customWidth="1"/>
    <col min="9" max="9" width="10.1640625" customWidth="1"/>
    <col min="10" max="10" width="51.6640625" customWidth="1"/>
    <col min="11" max="11" width="10.6640625" customWidth="1"/>
    <col min="12" max="12" width="18.6640625" customWidth="1"/>
    <col min="13" max="13" width="6.33203125" customWidth="1"/>
    <col min="14" max="14" width="19.83203125" customWidth="1"/>
    <col min="15" max="15" width="46.33203125" customWidth="1"/>
    <col min="16" max="16" width="14.6640625" customWidth="1"/>
    <col min="19" max="19" width="19.1640625" customWidth="1"/>
    <col min="20" max="20" width="32.1640625" customWidth="1"/>
    <col min="21" max="21" width="28.33203125" customWidth="1"/>
    <col min="22" max="22" width="13.33203125" customWidth="1"/>
  </cols>
  <sheetData>
    <row r="1" spans="1:27" ht="15.75" customHeight="1">
      <c r="A1" s="19"/>
      <c r="B1" s="279" t="s">
        <v>1937</v>
      </c>
      <c r="C1" s="280"/>
      <c r="D1" s="280"/>
      <c r="E1" s="281"/>
      <c r="F1" s="19"/>
      <c r="G1" s="279" t="s">
        <v>1938</v>
      </c>
      <c r="H1" s="280"/>
      <c r="I1" s="280"/>
      <c r="J1" s="281"/>
      <c r="K1" s="19"/>
      <c r="L1" s="279" t="s">
        <v>1939</v>
      </c>
      <c r="M1" s="280"/>
      <c r="N1" s="280"/>
      <c r="O1" s="281"/>
      <c r="P1" s="19"/>
      <c r="Q1" s="301" t="s">
        <v>1940</v>
      </c>
      <c r="R1" s="280"/>
      <c r="S1" s="280"/>
      <c r="T1" s="281"/>
      <c r="U1" s="19"/>
      <c r="V1" s="19"/>
      <c r="W1" s="19"/>
      <c r="X1" s="19"/>
      <c r="Y1" s="19"/>
      <c r="Z1" s="19"/>
      <c r="AA1" s="19"/>
    </row>
    <row r="2" spans="1:27" ht="15.75" customHeight="1">
      <c r="A2" s="19"/>
      <c r="B2" s="282"/>
      <c r="C2" s="268"/>
      <c r="D2" s="268"/>
      <c r="E2" s="283"/>
      <c r="F2" s="19"/>
      <c r="G2" s="282"/>
      <c r="H2" s="268"/>
      <c r="I2" s="268"/>
      <c r="J2" s="283"/>
      <c r="K2" s="19"/>
      <c r="L2" s="282"/>
      <c r="M2" s="268"/>
      <c r="N2" s="268"/>
      <c r="O2" s="283"/>
      <c r="P2" s="19"/>
      <c r="Q2" s="282"/>
      <c r="R2" s="268"/>
      <c r="S2" s="268"/>
      <c r="T2" s="283"/>
      <c r="U2" s="19"/>
      <c r="V2" s="19"/>
      <c r="W2" s="19"/>
      <c r="X2" s="19"/>
      <c r="Y2" s="19"/>
      <c r="Z2" s="19"/>
      <c r="AA2" s="19"/>
    </row>
    <row r="3" spans="1:27" ht="15.75" customHeight="1">
      <c r="A3" s="19"/>
      <c r="B3" s="284"/>
      <c r="C3" s="285"/>
      <c r="D3" s="285"/>
      <c r="E3" s="286"/>
      <c r="F3" s="19"/>
      <c r="G3" s="284"/>
      <c r="H3" s="285"/>
      <c r="I3" s="285"/>
      <c r="J3" s="286"/>
      <c r="K3" s="19"/>
      <c r="L3" s="284"/>
      <c r="M3" s="285"/>
      <c r="N3" s="285"/>
      <c r="O3" s="286"/>
      <c r="P3" s="19"/>
      <c r="Q3" s="284"/>
      <c r="R3" s="285"/>
      <c r="S3" s="285"/>
      <c r="T3" s="286"/>
      <c r="U3" s="19"/>
      <c r="V3" s="19"/>
      <c r="W3" s="19"/>
      <c r="X3" s="19"/>
      <c r="Y3" s="19"/>
      <c r="Z3" s="19"/>
      <c r="AA3" s="19"/>
    </row>
    <row r="4" spans="1:27" ht="15.75" customHeight="1">
      <c r="A4" s="19"/>
      <c r="B4" s="274" t="s">
        <v>1941</v>
      </c>
      <c r="C4" s="268"/>
      <c r="D4" s="268"/>
      <c r="E4" s="268"/>
      <c r="F4" s="19"/>
      <c r="G4" s="274" t="s">
        <v>1942</v>
      </c>
      <c r="H4" s="268"/>
      <c r="I4" s="268"/>
      <c r="J4" s="268"/>
      <c r="K4" s="19"/>
      <c r="L4" s="274" t="s">
        <v>1943</v>
      </c>
      <c r="M4" s="268"/>
      <c r="N4" s="268"/>
      <c r="O4" s="268"/>
      <c r="P4" s="19"/>
      <c r="Q4" s="274" t="s">
        <v>1944</v>
      </c>
      <c r="R4" s="268"/>
      <c r="S4" s="268"/>
      <c r="T4" s="268"/>
      <c r="U4" s="19"/>
      <c r="V4" s="19"/>
      <c r="W4" s="19"/>
      <c r="X4" s="19"/>
      <c r="Y4" s="19"/>
      <c r="Z4" s="19"/>
      <c r="AA4" s="19"/>
    </row>
    <row r="5" spans="1:27" ht="15.75" customHeight="1">
      <c r="A5" s="19"/>
      <c r="B5" s="124" t="s">
        <v>1945</v>
      </c>
      <c r="C5" s="124" t="s">
        <v>1841</v>
      </c>
      <c r="D5" s="124" t="s">
        <v>1946</v>
      </c>
      <c r="E5" s="124" t="s">
        <v>1469</v>
      </c>
      <c r="F5" s="19"/>
      <c r="G5" s="133" t="s">
        <v>1947</v>
      </c>
      <c r="H5" s="133" t="s">
        <v>1841</v>
      </c>
      <c r="I5" s="133" t="s">
        <v>1946</v>
      </c>
      <c r="J5" s="133" t="s">
        <v>1469</v>
      </c>
      <c r="K5" s="19"/>
      <c r="L5" s="133" t="s">
        <v>1948</v>
      </c>
      <c r="M5" s="124" t="s">
        <v>1841</v>
      </c>
      <c r="N5" s="276" t="s">
        <v>1469</v>
      </c>
      <c r="O5" s="273"/>
      <c r="P5" s="19"/>
      <c r="Q5" s="124" t="s">
        <v>1949</v>
      </c>
      <c r="R5" s="124" t="s">
        <v>1841</v>
      </c>
      <c r="S5" s="124" t="s">
        <v>1946</v>
      </c>
      <c r="T5" s="133" t="s">
        <v>1469</v>
      </c>
      <c r="U5" s="19"/>
      <c r="V5" s="19"/>
      <c r="W5" s="19"/>
      <c r="X5" s="19"/>
      <c r="Y5" s="19"/>
      <c r="Z5" s="19"/>
      <c r="AA5" s="19"/>
    </row>
    <row r="6" spans="1:27" ht="15.75" customHeight="1">
      <c r="A6" s="19"/>
      <c r="B6" s="5" t="s">
        <v>1950</v>
      </c>
      <c r="C6" s="5">
        <f>COUNTIF(CleanedData!C112:C157,"Visually")</f>
        <v>23</v>
      </c>
      <c r="D6" s="135">
        <f ca="1">IFERROR(__xludf.DUMMYFUNCTION("TO_PERCENT(C6/SUM(C6:C8))"),0.5)</f>
        <v>0.5</v>
      </c>
      <c r="E6" s="136" t="str">
        <f ca="1">IFERROR(__xludf.DUMMYFUNCTION("JOIN ("", "", FILTER(CleanedData!A112:A157, CleanedData!C112:C157=""visually""))"),"P1, P3, P4, P13, P14, P15, P16, P17, P18, P19, P21, P24, P25, P26, P27, P30, P32, P33, P34, P35, P36, P37, P38")</f>
        <v>P1, P3, P4, P13, P14, P15, P16, P17, P18, P19, P21, P24, P25, P26, P27, P30, P32, P33, P34, P35, P36, P37, P38</v>
      </c>
      <c r="F6" s="19"/>
      <c r="G6" s="136" t="s">
        <v>1951</v>
      </c>
      <c r="H6" s="136">
        <f>COUNTIF(CleanedData!D112:D157,"Fully Automated")</f>
        <v>38</v>
      </c>
      <c r="I6" s="137">
        <f ca="1">IFERROR(__xludf.DUMMYFUNCTION("TO_PERCENT(H6/SUM(H6:H8))"),0.826086956521739)</f>
        <v>0.82608695652173902</v>
      </c>
      <c r="J6" s="136" t="str">
        <f ca="1">IFERROR(__xludf.DUMMYFUNCTION("JOIN ("", "", FILTER(CleanedData!A112:A157, CleanedData!D112:D157=""fully automated""))"),"P1, P2, P4, P5, P6, P7, P8, P9, P10, P12, P13, P14, P15, P16, P17, P18, P20, P22, P23, P24, P25, P27, P28, P29, P30, P31, P32, P33, P34, P35, P36, P37, P40, P41, P42, P43, P44, P46")</f>
        <v>P1, P2, P4, P5, P6, P7, P8, P9, P10, P12, P13, P14, P15, P16, P17, P18, P20, P22, P23, P24, P25, P27, P28, P29, P30, P31, P32, P33, P34, P35, P36, P37, P40, P41, P42, P43, P44, P46</v>
      </c>
      <c r="K6" s="19"/>
      <c r="L6" s="5" t="s">
        <v>1952</v>
      </c>
      <c r="M6" s="5">
        <f>COUNTIF(CleanedData!H112:H157,"M2M + M2T")</f>
        <v>7</v>
      </c>
      <c r="N6" s="299" t="str">
        <f ca="1">IFERROR(__xludf.DUMMYFUNCTION("JOIN ("", "", FILTER(CleanedData!A112:A157, CleanedData!H112:H157=""M2M + M2T""))"),"P1, P3, P4, P9, P25, P41, P42")</f>
        <v>P1, P3, P4, P9, P25, P41, P42</v>
      </c>
      <c r="O6" s="273"/>
      <c r="P6" s="19"/>
      <c r="Q6" s="136" t="s">
        <v>1953</v>
      </c>
      <c r="R6" s="136">
        <f>COUNTIF(CleanedData!E112:E157,"no manual effort required")</f>
        <v>22</v>
      </c>
      <c r="S6" s="137">
        <f ca="1">IFERROR(__xludf.DUMMYFUNCTION("TO_PERCENT(R6/SUM(R6:R8))"),0.478260869565217)</f>
        <v>0.47826086956521702</v>
      </c>
      <c r="T6" s="136" t="str">
        <f ca="1">IFERROR(__xludf.DUMMYFUNCTION("JOIN ("", "", FILTER(CleanedData!A112:A157, CleanedData!E112:E157=""no manual effort required""))"),"P2, P4, P5, P7, P8, P9, P12, P13, P16, P17, P23, P25, P27, P28, P30, P31, P32, P37, P41, P42, P43, P46")</f>
        <v>P2, P4, P5, P7, P8, P9, P12, P13, P16, P17, P23, P25, P27, P28, P30, P31, P32, P37, P41, P42, P43, P46</v>
      </c>
      <c r="U6" s="19"/>
      <c r="V6" s="19"/>
      <c r="W6" s="19"/>
      <c r="X6" s="19"/>
      <c r="Y6" s="19"/>
      <c r="Z6" s="19"/>
      <c r="AA6" s="19"/>
    </row>
    <row r="7" spans="1:27" ht="31">
      <c r="A7" s="19"/>
      <c r="B7" s="5" t="s">
        <v>1954</v>
      </c>
      <c r="C7" s="139">
        <f>COUNTIF(CleanedData!C112:C157,"Textually")</f>
        <v>21</v>
      </c>
      <c r="D7" s="135">
        <f ca="1">IFERROR(__xludf.DUMMYFUNCTION("TO_PERCENT(C7/SUM(C6:C8))"),0.456521739130434)</f>
        <v>0.45652173913043398</v>
      </c>
      <c r="E7" s="136" t="str">
        <f ca="1">IFERROR(__xludf.DUMMYFUNCTION("JOIN ("", "", FILTER(CleanedData!A112:A157, CleanedData!C112:C157=""textually""))"),"P2, P5, P6, P7, P8, P9, P10, P11, P12, P20, P23, P28, P31, P39, P40, P41, P42, P43, P44, P45, P46")</f>
        <v>P2, P5, P6, P7, P8, P9, P10, P11, P12, P20, P23, P28, P31, P39, P40, P41, P42, P43, P44, P45, P46</v>
      </c>
      <c r="F7" s="19"/>
      <c r="G7" s="140" t="s">
        <v>1955</v>
      </c>
      <c r="H7" s="141">
        <f>COUNTIF(CleanedData!D112:D157,"Partially Automated")</f>
        <v>8</v>
      </c>
      <c r="I7" s="142">
        <f ca="1">IFERROR(__xludf.DUMMYFUNCTION("TO_PERCENT(H7/SUM(H6:H8))"),0.17391304347826)</f>
        <v>0.17391304347826</v>
      </c>
      <c r="J7" s="140" t="str">
        <f ca="1">IFERROR(__xludf.DUMMYFUNCTION("JOIN ("", "", FILTER(CleanedData!A112:A157, CleanedData!D112:D157=""partially automated""))"),"P3, P11, P19, P21, P26, P38, P39, P45")</f>
        <v>P3, P11, P19, P21, P26, P38, P39, P45</v>
      </c>
      <c r="K7" s="19"/>
      <c r="L7" s="5" t="s">
        <v>979</v>
      </c>
      <c r="M7" s="5">
        <f>COUNTIF(CleanedData!H112:H157,"MODEL TO TEXT TRANSFORMATION")</f>
        <v>35</v>
      </c>
      <c r="N7" s="299" t="str">
        <f ca="1">IFERROR(__xludf.DUMMYFUNCTION("JOIN ("", "", FILTER(CleanedData!A112:A157, CleanedData!H112:H157=""Model to Text Transformation""))"),"P2, P5, P6, P7, P8, P10, P11, P12, P13, P14, P15, P16, P17, P19, P20, P21, P22, P23, P24, P26, P27, P28, P30, P31, P32, P34, P35, P36, P37, P38, P39, P43, P44, P45, P46")</f>
        <v>P2, P5, P6, P7, P8, P10, P11, P12, P13, P14, P15, P16, P17, P19, P20, P21, P22, P23, P24, P26, P27, P28, P30, P31, P32, P34, P35, P36, P37, P38, P39, P43, P44, P45, P46</v>
      </c>
      <c r="O7" s="273"/>
      <c r="P7" s="19"/>
      <c r="Q7" s="136" t="s">
        <v>1956</v>
      </c>
      <c r="R7" s="143">
        <f>COUNTIF(CleanedData!E112:E157,"needs manual configurations")</f>
        <v>13</v>
      </c>
      <c r="S7" s="137">
        <f ca="1">IFERROR(__xludf.DUMMYFUNCTION("TO_PERCENT(R7/SUM(R6:R8))"),0.282608695652173)</f>
        <v>0.282608695652173</v>
      </c>
      <c r="T7" s="136" t="str">
        <f ca="1">IFERROR(__xludf.DUMMYFUNCTION("JOIN ("", "", FILTER(CleanedData!A112:A157, CleanedData!E112:E157=""needs manual configurations""))"),"P1, P3, P11, P14, P19, P20, P21, P22, P24, P35, P36, P39, P45")</f>
        <v>P1, P3, P11, P14, P19, P20, P21, P22, P24, P35, P36, P39, P45</v>
      </c>
      <c r="U7" s="19"/>
      <c r="V7" s="19"/>
      <c r="W7" s="19"/>
      <c r="X7" s="19"/>
      <c r="Y7" s="19"/>
      <c r="Z7" s="19"/>
      <c r="AA7" s="19"/>
    </row>
    <row r="8" spans="1:27" ht="31">
      <c r="A8" s="19"/>
      <c r="B8" s="5" t="s">
        <v>1957</v>
      </c>
      <c r="C8" s="5">
        <f>COUNTIF(CleanedData!C112:C157,"Visual &amp; Textual")</f>
        <v>2</v>
      </c>
      <c r="D8" s="135">
        <f ca="1">IFERROR(__xludf.DUMMYFUNCTION("TO_PERCENT(C8/SUM(C6:C8))"),0.0434782608695652)</f>
        <v>4.3478260869565202E-2</v>
      </c>
      <c r="E8" s="136" t="str">
        <f ca="1">IFERROR(__xludf.DUMMYFUNCTION("JOIN ("", "", FILTER(CleanedData!A112:A157, CleanedData!C112:C157=""visual &amp; textual""))"),"P22, P29")</f>
        <v>P22, P29</v>
      </c>
      <c r="F8" s="19"/>
      <c r="G8" s="144"/>
      <c r="H8" s="145"/>
      <c r="I8" s="144"/>
      <c r="J8" s="144"/>
      <c r="K8" s="19"/>
      <c r="L8" s="5" t="s">
        <v>1958</v>
      </c>
      <c r="M8" s="5">
        <f>COUNTIF(CleanedData!H112:H157,"Model to model transformation")</f>
        <v>4</v>
      </c>
      <c r="N8" s="299" t="str">
        <f ca="1">IFERROR(__xludf.DUMMYFUNCTION("JOIN ("", "", FILTER(CleanedData!A112:A157, CleanedData!H112:H157=""Model to Model Transformation""))"),"P18, P29, P33, P40")</f>
        <v>P18, P29, P33, P40</v>
      </c>
      <c r="O8" s="273"/>
      <c r="P8" s="19"/>
      <c r="Q8" s="136" t="s">
        <v>386</v>
      </c>
      <c r="R8" s="143">
        <f>COUNTIF(CleanedData!E112:E157,"no code generated")</f>
        <v>11</v>
      </c>
      <c r="S8" s="137">
        <f ca="1">IFERROR(__xludf.DUMMYFUNCTION("TO_PERCENT(R8/SUM(R6:R8))"),0.239130434782608)</f>
        <v>0.23913043478260801</v>
      </c>
      <c r="T8" s="136" t="str">
        <f ca="1">IFERROR(__xludf.DUMMYFUNCTION("JOIN ("", "", FILTER(CleanedData!A112:A157, CleanedData!E112:E157=""no code generated""))"),"P6, P10, P15, P18, P26, P29, P33, P34, P38, P40, P44")</f>
        <v>P6, P10, P15, P18, P26, P29, P33, P34, P38, P40, P44</v>
      </c>
      <c r="U8" s="19"/>
      <c r="V8" s="19"/>
      <c r="W8" s="19"/>
      <c r="X8" s="19"/>
      <c r="Y8" s="19"/>
      <c r="Z8" s="19"/>
      <c r="AA8" s="19"/>
    </row>
    <row r="9" spans="1:27" ht="15.75" customHeight="1">
      <c r="A9" s="19"/>
      <c r="B9" s="19"/>
      <c r="C9" s="19"/>
      <c r="D9" s="19"/>
      <c r="E9" s="19"/>
      <c r="F9" s="19"/>
      <c r="G9" s="19"/>
      <c r="H9" s="19"/>
      <c r="I9" s="19"/>
      <c r="J9" s="19"/>
      <c r="K9" s="19"/>
      <c r="L9" s="19"/>
      <c r="M9" s="19"/>
      <c r="N9" s="19"/>
      <c r="O9" s="19"/>
      <c r="P9" s="19"/>
      <c r="Q9" s="19"/>
      <c r="R9" s="19"/>
      <c r="S9" s="19"/>
      <c r="T9" s="19"/>
      <c r="U9" s="19"/>
      <c r="V9" s="19"/>
      <c r="W9" s="19"/>
      <c r="X9" s="19"/>
      <c r="Y9" s="19"/>
      <c r="Z9" s="19"/>
      <c r="AA9" s="19"/>
    </row>
    <row r="10" spans="1:27" ht="15.75" customHeight="1">
      <c r="A10" s="19"/>
      <c r="B10" s="19"/>
      <c r="C10" s="19"/>
      <c r="D10" s="19"/>
      <c r="E10" s="19"/>
      <c r="F10" s="19"/>
      <c r="G10" s="19"/>
      <c r="H10" s="19"/>
      <c r="I10" s="19"/>
      <c r="J10" s="19"/>
      <c r="K10" s="19"/>
      <c r="L10" s="19"/>
      <c r="M10" s="19"/>
      <c r="N10" s="19"/>
      <c r="O10" s="19" t="s">
        <v>1959</v>
      </c>
      <c r="P10" s="19"/>
      <c r="Q10" s="19"/>
      <c r="R10" s="19"/>
      <c r="S10" s="19"/>
      <c r="T10" s="19"/>
      <c r="U10" s="19"/>
      <c r="V10" s="19"/>
      <c r="W10" s="19"/>
      <c r="X10" s="19"/>
      <c r="Y10" s="19"/>
      <c r="Z10" s="19"/>
      <c r="AA10" s="19"/>
    </row>
    <row r="11" spans="1:27" ht="15.7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row>
    <row r="12" spans="1:27" ht="15.75" customHeight="1">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row>
    <row r="13" spans="1:27" ht="15.75" customHeight="1">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row>
    <row r="14" spans="1:27" ht="15.75" customHeight="1">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row>
    <row r="15" spans="1:27" ht="15.75" customHeight="1">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row>
    <row r="16" spans="1:27" ht="15.75" customHeight="1">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row>
    <row r="17" spans="1:27" ht="15.75"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row>
    <row r="18" spans="1:27" ht="15.7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row>
    <row r="19" spans="1:27" ht="15.7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row>
    <row r="20" spans="1:27" ht="15.7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row>
    <row r="21" spans="1:27"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row>
    <row r="22" spans="1:27"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row>
    <row r="23" spans="1:27"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row>
    <row r="24" spans="1:27"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row>
    <row r="25" spans="1:27" ht="15.75" customHeight="1">
      <c r="A25" s="19"/>
      <c r="B25" s="301" t="s">
        <v>215</v>
      </c>
      <c r="C25" s="280"/>
      <c r="D25" s="280"/>
      <c r="E25" s="281"/>
      <c r="F25" s="19"/>
      <c r="G25" s="279" t="s">
        <v>1960</v>
      </c>
      <c r="H25" s="280"/>
      <c r="I25" s="280"/>
      <c r="J25" s="281"/>
      <c r="K25" s="19"/>
      <c r="L25" s="19"/>
      <c r="M25" s="19"/>
      <c r="N25" s="279" t="s">
        <v>1961</v>
      </c>
      <c r="O25" s="280"/>
      <c r="P25" s="280"/>
      <c r="Q25" s="280"/>
      <c r="R25" s="280"/>
      <c r="S25" s="280"/>
      <c r="T25" s="281"/>
      <c r="U25" s="19"/>
      <c r="V25" s="19"/>
      <c r="W25" s="19"/>
      <c r="X25" s="19"/>
      <c r="Y25" s="19"/>
      <c r="Z25" s="19"/>
      <c r="AA25" s="19"/>
    </row>
    <row r="26" spans="1:27" ht="15.75" customHeight="1">
      <c r="A26" s="19"/>
      <c r="B26" s="282"/>
      <c r="C26" s="268"/>
      <c r="D26" s="268"/>
      <c r="E26" s="283"/>
      <c r="F26" s="19"/>
      <c r="G26" s="282"/>
      <c r="H26" s="268"/>
      <c r="I26" s="268"/>
      <c r="J26" s="283"/>
      <c r="K26" s="19"/>
      <c r="L26" s="19"/>
      <c r="M26" s="19"/>
      <c r="N26" s="282"/>
      <c r="O26" s="268"/>
      <c r="P26" s="268"/>
      <c r="Q26" s="268"/>
      <c r="R26" s="268"/>
      <c r="S26" s="268"/>
      <c r="T26" s="283"/>
      <c r="U26" s="19"/>
      <c r="V26" s="19"/>
      <c r="W26" s="19"/>
      <c r="X26" s="19"/>
      <c r="Y26" s="19"/>
      <c r="Z26" s="19"/>
      <c r="AA26" s="19"/>
    </row>
    <row r="27" spans="1:27" ht="15.75" customHeight="1">
      <c r="A27" s="19"/>
      <c r="B27" s="284"/>
      <c r="C27" s="285"/>
      <c r="D27" s="285"/>
      <c r="E27" s="286"/>
      <c r="F27" s="19"/>
      <c r="G27" s="284"/>
      <c r="H27" s="285"/>
      <c r="I27" s="285"/>
      <c r="J27" s="286"/>
      <c r="K27" s="19"/>
      <c r="L27" s="19"/>
      <c r="M27" s="19"/>
      <c r="N27" s="284"/>
      <c r="O27" s="285"/>
      <c r="P27" s="285"/>
      <c r="Q27" s="285"/>
      <c r="R27" s="285"/>
      <c r="S27" s="285"/>
      <c r="T27" s="286"/>
      <c r="U27" s="19"/>
      <c r="V27" s="19"/>
      <c r="W27" s="19"/>
      <c r="X27" s="19"/>
      <c r="Y27" s="19"/>
      <c r="Z27" s="19"/>
      <c r="AA27" s="19"/>
    </row>
    <row r="28" spans="1:27" ht="15.75" customHeight="1" thickTop="1">
      <c r="A28" s="19"/>
      <c r="B28" s="19"/>
      <c r="C28" s="19"/>
      <c r="D28" s="19"/>
      <c r="E28" s="19"/>
      <c r="F28" s="19"/>
      <c r="G28" s="302" t="s">
        <v>1962</v>
      </c>
      <c r="H28" s="268"/>
      <c r="I28" s="268"/>
      <c r="J28" s="268"/>
      <c r="K28" s="19"/>
      <c r="L28" s="19"/>
      <c r="M28" s="19"/>
      <c r="N28" s="19"/>
      <c r="O28" s="19"/>
      <c r="P28" s="19"/>
      <c r="Q28" s="19"/>
      <c r="R28" s="302" t="s">
        <v>1963</v>
      </c>
      <c r="S28" s="268"/>
      <c r="T28" s="268"/>
      <c r="U28" s="19"/>
      <c r="V28" s="19"/>
      <c r="W28" s="19"/>
      <c r="X28" s="19"/>
      <c r="Y28" s="19"/>
      <c r="Z28" s="19"/>
      <c r="AA28" s="19"/>
    </row>
    <row r="29" spans="1:27" ht="15.75" customHeight="1">
      <c r="A29" s="19"/>
      <c r="B29" s="19"/>
      <c r="D29" s="19"/>
      <c r="E29" s="19"/>
      <c r="F29" s="19"/>
      <c r="G29" s="133" t="s">
        <v>1964</v>
      </c>
      <c r="H29" s="100" t="s">
        <v>1841</v>
      </c>
      <c r="I29" s="293" t="s">
        <v>1469</v>
      </c>
      <c r="J29" s="273"/>
      <c r="K29" s="19"/>
      <c r="L29" s="19"/>
      <c r="M29" s="19"/>
      <c r="N29" s="19"/>
      <c r="O29" s="19"/>
      <c r="P29" s="19"/>
      <c r="Q29" s="19"/>
      <c r="R29" s="133" t="s">
        <v>1965</v>
      </c>
      <c r="S29" s="133" t="s">
        <v>1841</v>
      </c>
      <c r="T29" s="133" t="s">
        <v>1469</v>
      </c>
      <c r="U29" s="19"/>
      <c r="V29" s="19"/>
      <c r="W29" s="19"/>
      <c r="X29" s="19"/>
      <c r="Y29" s="19"/>
      <c r="Z29" s="19"/>
      <c r="AA29" s="19"/>
    </row>
    <row r="30" spans="1:27" ht="15.75" customHeight="1">
      <c r="A30" s="19"/>
      <c r="B30" s="19"/>
      <c r="C30" s="19"/>
      <c r="D30" s="146"/>
      <c r="E30" s="19"/>
      <c r="F30" s="19"/>
      <c r="G30" s="136" t="s">
        <v>1966</v>
      </c>
      <c r="H30" s="136">
        <f>COUNTIF(CleanedData!I112:I157,"partially complete")</f>
        <v>11</v>
      </c>
      <c r="I30" s="303" t="str">
        <f ca="1">IFERROR(__xludf.DUMMYFUNCTION("JOIN ("", "", FILTER(CleanedData!A112:A157, CleanedData!I112:I157=""partially complete""))"),"P1, P3, P6, P11, P14, P19, P20, P21, P24, P35, P39")</f>
        <v>P1, P3, P6, P11, P14, P19, P20, P21, P24, P35, P39</v>
      </c>
      <c r="J30" s="262"/>
      <c r="K30" s="19"/>
      <c r="L30" s="19"/>
      <c r="M30" s="19"/>
      <c r="N30" s="19"/>
      <c r="O30" s="19"/>
      <c r="P30" s="19"/>
      <c r="Q30" s="19"/>
      <c r="R30" s="136" t="s">
        <v>1470</v>
      </c>
      <c r="S30" s="136">
        <f>COUNTIF(CleanedData!M112:M171,"MATLAB")</f>
        <v>1</v>
      </c>
      <c r="T30" s="136" t="str">
        <f ca="1">IFERROR(__xludf.DUMMYFUNCTION("JOIN ("", "", FILTER(CleanedData!L112:L171, CleanedData!M112:M171=""MATLAB""))"),"P1")</f>
        <v>P1</v>
      </c>
      <c r="U30" s="19"/>
      <c r="V30" s="19"/>
      <c r="W30" s="19"/>
      <c r="X30" s="19"/>
      <c r="Y30" s="19"/>
      <c r="Z30" s="19"/>
      <c r="AA30" s="19"/>
    </row>
    <row r="31" spans="1:27" ht="15.75" customHeight="1">
      <c r="A31" s="19"/>
      <c r="B31" s="19"/>
      <c r="C31" s="19"/>
      <c r="D31" s="19"/>
      <c r="E31" s="19"/>
      <c r="F31" s="19"/>
      <c r="G31" s="136" t="s">
        <v>1967</v>
      </c>
      <c r="H31" s="138">
        <f>COUNTIF(CleanedData!I112:I157,"complete")</f>
        <v>35</v>
      </c>
      <c r="I31" s="299" t="str">
        <f ca="1">IFERROR(__xludf.DUMMYFUNCTION("JOIN ("", "", FILTER(CleanedData!A112:A157, CleanedData!I112:I157=""complete""))"),"P2, P4, P5, P7, P8, P9, P10, P12, P13, P15, P16, P17, P18, P22, P23, P25, P26, P27, P28, P29, P30, P31, P32, P33, P34, P36, P37, P38, P40, P41, P42, P43, P44, P45, P46")</f>
        <v>P2, P4, P5, P7, P8, P9, P10, P12, P13, P15, P16, P17, P18, P22, P23, P25, P26, P27, P28, P29, P30, P31, P32, P33, P34, P36, P37, P38, P40, P41, P42, P43, P44, P45, P46</v>
      </c>
      <c r="J31" s="273"/>
      <c r="K31" s="19"/>
      <c r="L31" s="19"/>
      <c r="M31" s="19"/>
      <c r="N31" s="19"/>
      <c r="P31" s="19"/>
      <c r="Q31" s="19"/>
      <c r="R31" s="136" t="s">
        <v>293</v>
      </c>
      <c r="S31" s="136">
        <f>COUNTIF(CleanedData!M112:M171,"python")</f>
        <v>15</v>
      </c>
      <c r="T31" s="136" t="str">
        <f ca="1">IFERROR(__xludf.DUMMYFUNCTION("JOIN ("", "", FILTER(CleanedData!L112:L171, CleanedData!M112:M171=""Python""))"),"P1, P2, P8, P9, P11, P12, P13, P19, P22, P24, P25, P32, P35, P37, P39")</f>
        <v>P1, P2, P8, P9, P11, P12, P13, P19, P22, P24, P25, P32, P35, P37, P39</v>
      </c>
      <c r="U31" s="19"/>
      <c r="V31" s="19"/>
      <c r="W31" s="19"/>
      <c r="X31" s="19"/>
      <c r="Y31" s="19"/>
      <c r="Z31" s="19"/>
      <c r="AA31" s="19"/>
    </row>
    <row r="32" spans="1:27" ht="15.75" customHeight="1">
      <c r="A32" s="19"/>
      <c r="B32" s="19"/>
      <c r="C32" s="19"/>
      <c r="D32" s="19"/>
      <c r="E32" s="19"/>
      <c r="F32" s="19"/>
      <c r="G32" s="19"/>
      <c r="H32" s="19"/>
      <c r="I32" s="19"/>
      <c r="J32" s="19"/>
      <c r="K32" s="19"/>
      <c r="L32" s="19"/>
      <c r="M32" s="19"/>
      <c r="N32" s="19"/>
      <c r="O32" s="19"/>
      <c r="P32" s="19"/>
      <c r="Q32" s="19"/>
      <c r="R32" s="136" t="s">
        <v>427</v>
      </c>
      <c r="S32" s="136">
        <f>COUNTIF(CleanedData!M112:M171,"Java")</f>
        <v>10</v>
      </c>
      <c r="T32" s="136" t="str">
        <f ca="1">IFERROR(__xludf.DUMMYFUNCTION("JOIN ("", "", FILTER(CleanedData!L112:L171, CleanedData!M112:M171=""Java""))"),"P4, P7, P16, P20, P22, P23, P27, P28, P42, P45")</f>
        <v>P4, P7, P16, P20, P22, P23, P27, P28, P42, P45</v>
      </c>
      <c r="U32" s="19"/>
      <c r="V32" s="19"/>
      <c r="W32" s="19"/>
      <c r="X32" s="19"/>
      <c r="Y32" s="19"/>
      <c r="Z32" s="19"/>
      <c r="AA32" s="19"/>
    </row>
    <row r="33" spans="1:27" ht="15.75" customHeight="1">
      <c r="A33" s="19"/>
      <c r="B33" s="19"/>
      <c r="C33" s="19"/>
      <c r="D33" s="19"/>
      <c r="E33" s="19"/>
      <c r="F33" s="19"/>
      <c r="G33" s="19"/>
      <c r="H33" s="19"/>
      <c r="I33" s="19"/>
      <c r="J33" s="19"/>
      <c r="K33" s="19"/>
      <c r="L33" s="19"/>
      <c r="M33" s="19"/>
      <c r="N33" s="19"/>
      <c r="O33" s="19"/>
      <c r="P33" s="19"/>
      <c r="Q33" s="19"/>
      <c r="R33" s="136" t="s">
        <v>452</v>
      </c>
      <c r="S33" s="136">
        <f>COUNTIF(CleanedData!M112:M171,"C++")</f>
        <v>4</v>
      </c>
      <c r="T33" s="136" t="str">
        <f ca="1">IFERROR(__xludf.DUMMYFUNCTION("JOIN ("", "", FILTER(CleanedData!L112:L171, CleanedData!M112:M171=""C++""))"),"P5, P8, P11, P41")</f>
        <v>P5, P8, P11, P41</v>
      </c>
      <c r="U33" s="19"/>
      <c r="V33" s="19"/>
      <c r="W33" s="19"/>
      <c r="X33" s="19"/>
      <c r="Y33" s="19"/>
      <c r="Z33" s="19"/>
      <c r="AA33" s="19"/>
    </row>
    <row r="34" spans="1:27" ht="15.75" customHeight="1">
      <c r="A34" s="19"/>
      <c r="B34" s="19"/>
      <c r="C34" s="19"/>
      <c r="D34" s="19"/>
      <c r="E34" s="19"/>
      <c r="F34" s="19"/>
      <c r="H34" s="19"/>
      <c r="I34" s="19"/>
      <c r="J34" s="19"/>
      <c r="K34" s="19"/>
      <c r="L34" s="19"/>
      <c r="M34" s="19"/>
      <c r="N34" s="19"/>
      <c r="O34" s="19"/>
      <c r="P34" s="19"/>
      <c r="Q34" s="19"/>
      <c r="R34" s="136" t="s">
        <v>1520</v>
      </c>
      <c r="S34" s="136">
        <f>COUNTIF(CleanedData!M112:M171,"C")</f>
        <v>1</v>
      </c>
      <c r="T34" s="136" t="str">
        <f ca="1">IFERROR(__xludf.DUMMYFUNCTION("JOIN ("", "", FILTER(CleanedData!L112:L171, CleanedData!M112:M171=""C""))"),"P9")</f>
        <v>P9</v>
      </c>
      <c r="U34" s="19"/>
      <c r="V34" s="19"/>
      <c r="W34" s="19"/>
      <c r="X34" s="19"/>
      <c r="Y34" s="19"/>
      <c r="Z34" s="19"/>
      <c r="AA34" s="19"/>
    </row>
    <row r="35" spans="1:27" ht="15.75" customHeight="1">
      <c r="A35" s="19"/>
      <c r="B35" s="19"/>
      <c r="C35" s="19"/>
      <c r="D35" s="19"/>
      <c r="E35" s="19"/>
      <c r="F35" s="19"/>
      <c r="G35" s="19"/>
      <c r="H35" s="19"/>
      <c r="I35" s="19"/>
      <c r="J35" s="19"/>
      <c r="K35" s="19"/>
      <c r="L35" s="19"/>
      <c r="M35" s="19"/>
      <c r="N35" s="19"/>
      <c r="O35" s="19"/>
      <c r="P35" s="19"/>
      <c r="Q35" s="19"/>
      <c r="R35" s="136" t="s">
        <v>496</v>
      </c>
      <c r="S35" s="136">
        <f>COUNTIF(CleanedData!M112:M171,"YAML")</f>
        <v>2</v>
      </c>
      <c r="T35" s="136" t="str">
        <f ca="1">IFERROR(__xludf.DUMMYFUNCTION("JOIN ("", "", FILTER(CleanedData!L112:L171, CleanedData!M112:M171=""YAML""))"),"P6, P37")</f>
        <v>P6, P37</v>
      </c>
      <c r="U35" s="19"/>
      <c r="V35" s="19"/>
      <c r="W35" s="19"/>
      <c r="X35" s="19"/>
      <c r="Y35" s="19"/>
      <c r="Z35" s="19"/>
      <c r="AA35" s="19"/>
    </row>
    <row r="36" spans="1:27" ht="15.75" customHeight="1">
      <c r="A36" s="19"/>
      <c r="B36" s="19"/>
      <c r="C36" s="19"/>
      <c r="D36" s="19"/>
      <c r="E36" s="19"/>
      <c r="F36" s="19"/>
      <c r="G36" s="19"/>
      <c r="H36" s="19"/>
      <c r="I36" s="19"/>
      <c r="J36" s="19"/>
      <c r="K36" s="19"/>
      <c r="L36" s="19"/>
      <c r="M36" s="19"/>
      <c r="N36" s="19"/>
      <c r="O36" s="19"/>
      <c r="P36" s="19"/>
      <c r="Q36" s="19"/>
      <c r="R36" s="136" t="s">
        <v>1509</v>
      </c>
      <c r="S36" s="136">
        <f>COUNTIF(CleanedData!M112:M171,"PMML")</f>
        <v>3</v>
      </c>
      <c r="T36" s="136" t="str">
        <f ca="1">IFERROR(__xludf.DUMMYFUNCTION("JOIN ("", "", FILTER(CleanedData!L112:L171, CleanedData!M112:M171=""PMML""))"),"P7, P36, P45")</f>
        <v>P7, P36, P45</v>
      </c>
      <c r="U36" s="19"/>
      <c r="V36" s="19"/>
      <c r="W36" s="19"/>
      <c r="X36" s="19"/>
      <c r="Y36" s="19"/>
      <c r="Z36" s="19"/>
      <c r="AA36" s="19"/>
    </row>
    <row r="37" spans="1:27" ht="15.75" customHeight="1">
      <c r="A37" s="19"/>
      <c r="B37" s="19"/>
      <c r="C37" s="19"/>
      <c r="D37" s="19"/>
      <c r="E37" s="19"/>
      <c r="F37" s="19"/>
      <c r="G37" s="19"/>
      <c r="H37" s="19"/>
      <c r="I37" s="19"/>
      <c r="J37" s="19"/>
      <c r="K37" s="19"/>
      <c r="L37" s="19"/>
      <c r="M37" s="19"/>
      <c r="N37" s="19"/>
      <c r="O37" s="19"/>
      <c r="P37" s="19"/>
      <c r="Q37" s="19"/>
      <c r="R37" s="136" t="s">
        <v>627</v>
      </c>
      <c r="S37" s="136">
        <f>COUNTIF(CleanedData!M112:M171,"HTML")</f>
        <v>1</v>
      </c>
      <c r="T37" s="136" t="str">
        <f ca="1">IFERROR(__xludf.DUMMYFUNCTION("JOIN ("", "", FILTER(CleanedData!L112:L171, CleanedData!M112:M171=""HTML""))"),"P10")</f>
        <v>P10</v>
      </c>
      <c r="U37" s="19"/>
      <c r="V37" s="19"/>
      <c r="W37" s="19"/>
      <c r="X37" s="19"/>
      <c r="Y37" s="19"/>
      <c r="Z37" s="19"/>
      <c r="AA37" s="19"/>
    </row>
    <row r="38" spans="1:27" ht="15.75" customHeight="1">
      <c r="A38" s="19"/>
      <c r="B38" s="19"/>
      <c r="C38" s="19"/>
      <c r="D38" s="19"/>
      <c r="E38" s="19"/>
      <c r="F38" s="19"/>
      <c r="G38" s="19"/>
      <c r="H38" s="19"/>
      <c r="I38" s="19"/>
      <c r="J38" s="19"/>
      <c r="K38" s="19"/>
      <c r="L38" s="19"/>
      <c r="M38" s="19"/>
      <c r="N38" s="19"/>
      <c r="O38" s="19"/>
      <c r="P38" s="19"/>
      <c r="Q38" s="19"/>
      <c r="R38" s="136" t="s">
        <v>712</v>
      </c>
      <c r="S38" s="136">
        <f>COUNTIF(CleanedData!M112:M171,"Alloy")</f>
        <v>1</v>
      </c>
      <c r="T38" s="136" t="str">
        <f ca="1">IFERROR(__xludf.DUMMYFUNCTION("JOIN ("", "", FILTER(CleanedData!L112:L171, CleanedData!M112:M171=""Alloy""))"),"P14")</f>
        <v>P14</v>
      </c>
      <c r="U38" s="19"/>
      <c r="V38" s="19"/>
      <c r="W38" s="19"/>
      <c r="X38" s="19"/>
      <c r="Y38" s="19"/>
      <c r="Z38" s="19"/>
      <c r="AA38" s="19"/>
    </row>
    <row r="39" spans="1:27" ht="15.75" customHeight="1">
      <c r="A39" s="19"/>
      <c r="B39" s="19"/>
      <c r="C39" s="19"/>
      <c r="D39" s="19"/>
      <c r="E39" s="19"/>
      <c r="F39" s="19"/>
      <c r="G39" s="19"/>
      <c r="H39" s="19"/>
      <c r="I39" s="19"/>
      <c r="J39" s="19"/>
      <c r="K39" s="19"/>
      <c r="L39" s="19"/>
      <c r="M39" s="19"/>
      <c r="N39" s="19"/>
      <c r="O39" s="19"/>
      <c r="P39" s="19"/>
      <c r="Q39" s="19"/>
      <c r="R39" s="136" t="s">
        <v>772</v>
      </c>
      <c r="S39" s="136">
        <f>COUNTIF(CleanedData!M112:M171,"C#")</f>
        <v>3</v>
      </c>
      <c r="T39" s="136" t="str">
        <f ca="1">IFERROR(__xludf.DUMMYFUNCTION("JOIN ("", "", FILTER(CleanedData!L112:L171, CleanedData!M112:M171=""C#""))"),"P17, P21, P28")</f>
        <v>P17, P21, P28</v>
      </c>
      <c r="U39" s="19"/>
      <c r="V39" s="19"/>
      <c r="W39" s="19"/>
      <c r="X39" s="19"/>
      <c r="Y39" s="19"/>
      <c r="Z39" s="19"/>
      <c r="AA39" s="19"/>
    </row>
    <row r="40" spans="1:27" ht="15.75" customHeight="1">
      <c r="A40" s="19"/>
      <c r="D40" s="19"/>
      <c r="E40" s="19"/>
      <c r="F40" s="19"/>
      <c r="G40" s="19"/>
      <c r="H40" s="19"/>
      <c r="I40" s="19"/>
      <c r="J40" s="19"/>
      <c r="K40" s="19"/>
      <c r="L40" s="19"/>
      <c r="M40" s="19"/>
      <c r="N40" s="19"/>
      <c r="O40" s="19"/>
      <c r="P40" s="19"/>
      <c r="Q40" s="19"/>
      <c r="R40" s="136" t="s">
        <v>1554</v>
      </c>
      <c r="S40" s="136">
        <f>COUNTIF(CleanedData!M112:M171,"TypeScript")</f>
        <v>1</v>
      </c>
      <c r="T40" s="136" t="str">
        <f ca="1">IFERROR(__xludf.DUMMYFUNCTION("JOIN ("", "", FILTER(CleanedData!L112:L171, CleanedData!M112:M171=""Typescript""))"),"P23")</f>
        <v>P23</v>
      </c>
      <c r="U40" s="19"/>
      <c r="V40" s="19"/>
      <c r="W40" s="19"/>
      <c r="X40" s="19"/>
      <c r="Y40" s="19"/>
      <c r="Z40" s="19"/>
      <c r="AA40" s="19"/>
    </row>
    <row r="41" spans="1:27" ht="15.75" customHeight="1">
      <c r="A41" s="19"/>
      <c r="D41" s="19"/>
      <c r="E41" s="19"/>
      <c r="F41" s="19"/>
      <c r="G41" s="19"/>
      <c r="H41" s="19"/>
      <c r="I41" s="19"/>
      <c r="J41" s="19"/>
      <c r="K41" s="19"/>
      <c r="L41" s="19"/>
      <c r="M41" s="19"/>
      <c r="N41" s="19"/>
      <c r="O41" s="19"/>
      <c r="P41" s="19"/>
      <c r="Q41" s="19"/>
      <c r="R41" s="136" t="s">
        <v>960</v>
      </c>
      <c r="S41" s="136">
        <f>COUNTIF(CleanedData!M112:M171,"JSON")</f>
        <v>1</v>
      </c>
      <c r="T41" s="136" t="str">
        <f ca="1">IFERROR(__xludf.DUMMYFUNCTION("JOIN ("", "", FILTER(CleanedData!L112:L171, CleanedData!M112:M171=""JSON""))"),"P26")</f>
        <v>P26</v>
      </c>
      <c r="U41" s="19"/>
      <c r="V41" s="19"/>
      <c r="W41" s="19"/>
      <c r="X41" s="19"/>
      <c r="Y41" s="19"/>
      <c r="Z41" s="19"/>
      <c r="AA41" s="19"/>
    </row>
    <row r="42" spans="1:27" ht="15.75" customHeight="1">
      <c r="A42" s="19"/>
      <c r="C42" s="5" t="s">
        <v>1968</v>
      </c>
      <c r="D42" s="5" t="s">
        <v>1841</v>
      </c>
      <c r="E42" s="19"/>
      <c r="F42" s="19"/>
      <c r="G42" s="19"/>
      <c r="H42" s="19"/>
      <c r="I42" s="19"/>
      <c r="J42" s="19"/>
      <c r="K42" s="19"/>
      <c r="L42" s="19"/>
      <c r="M42" s="19"/>
      <c r="N42" s="19"/>
      <c r="O42" s="19"/>
      <c r="P42" s="19"/>
      <c r="Q42" s="19"/>
      <c r="R42" s="136" t="s">
        <v>1561</v>
      </c>
      <c r="S42" s="136">
        <f>COUNTIF(CleanedData!M112:M171,"XML")</f>
        <v>1</v>
      </c>
      <c r="T42" s="136" t="str">
        <f ca="1">IFERROR(__xludf.DUMMYFUNCTION("JOIN ("", "", FILTER(CleanedData!L112:L171, CleanedData!M112:M171=""xml""))"),"P27")</f>
        <v>P27</v>
      </c>
      <c r="U42" s="19"/>
      <c r="V42" s="19"/>
      <c r="W42" s="19"/>
      <c r="X42" s="19"/>
      <c r="Y42" s="19"/>
      <c r="Z42" s="19"/>
      <c r="AA42" s="19"/>
    </row>
    <row r="43" spans="1:27" ht="15.75" customHeight="1">
      <c r="A43" s="19"/>
      <c r="C43" s="5" t="s">
        <v>1487</v>
      </c>
      <c r="D43" s="5">
        <f>COUNTIF(CleanedData!AP112:AP157,"CIM")</f>
        <v>2</v>
      </c>
      <c r="E43" s="19"/>
      <c r="F43" s="19"/>
      <c r="G43" s="19"/>
      <c r="H43" s="19"/>
      <c r="I43" s="19"/>
      <c r="J43" s="19"/>
      <c r="K43" s="19"/>
      <c r="L43" s="19"/>
      <c r="M43" s="19"/>
      <c r="N43" s="19"/>
      <c r="O43" s="19"/>
      <c r="P43" s="19"/>
      <c r="Q43" s="19"/>
      <c r="R43" s="136" t="s">
        <v>1576</v>
      </c>
      <c r="S43" s="136">
        <f>COUNTIF(CleanedData!M112:M171,"NetLogo")</f>
        <v>1</v>
      </c>
      <c r="T43" s="136" t="str">
        <f ca="1">IFERROR(__xludf.DUMMYFUNCTION("JOIN ("", "", FILTER(CleanedData!L112:L171, CleanedData!M112:M171=""NetLogo""))"),"P30")</f>
        <v>P30</v>
      </c>
      <c r="U43" s="19"/>
      <c r="V43" s="19"/>
      <c r="W43" s="19"/>
      <c r="X43" s="19"/>
      <c r="Y43" s="19"/>
      <c r="Z43" s="19"/>
      <c r="AA43" s="19"/>
    </row>
    <row r="44" spans="1:27" ht="15.75" customHeight="1">
      <c r="A44" s="19"/>
      <c r="C44" s="5" t="s">
        <v>1475</v>
      </c>
      <c r="D44" s="5">
        <f>COUNTIF(CleanedData!AP112:AP157,"PIM")</f>
        <v>35</v>
      </c>
      <c r="E44" s="19"/>
      <c r="F44" s="19"/>
      <c r="G44" s="19"/>
      <c r="H44" s="19"/>
      <c r="I44" s="19"/>
      <c r="J44" s="19"/>
      <c r="K44" s="19"/>
      <c r="L44" s="19"/>
      <c r="M44" s="19"/>
      <c r="N44" s="19"/>
      <c r="O44" s="19"/>
      <c r="P44" s="19"/>
      <c r="Q44" s="19"/>
      <c r="R44" s="136" t="s">
        <v>1578</v>
      </c>
      <c r="S44" s="136">
        <f>COUNTIF(CleanedData!M112:M171,"PLC Code")</f>
        <v>1</v>
      </c>
      <c r="T44" s="136" t="str">
        <f ca="1">IFERROR(__xludf.DUMMYFUNCTION("JOIN ("", "", FILTER(CleanedData!L112:L171, CleanedData!M112:M171=""plc code""))"),"P31")</f>
        <v>P31</v>
      </c>
      <c r="U44" s="19"/>
      <c r="V44" s="19"/>
      <c r="W44" s="19"/>
      <c r="X44" s="19"/>
      <c r="Y44" s="19"/>
      <c r="Z44" s="19"/>
      <c r="AA44" s="19"/>
    </row>
    <row r="45" spans="1:27" ht="15.75" customHeight="1">
      <c r="A45" s="19"/>
      <c r="C45" s="5" t="s">
        <v>1494</v>
      </c>
      <c r="D45" s="5">
        <f>COUNTIF(CleanedData!AP112:AP157,"PSM")</f>
        <v>2</v>
      </c>
      <c r="E45" s="19"/>
      <c r="F45" s="19"/>
      <c r="G45" s="19"/>
      <c r="H45" s="19"/>
      <c r="I45" s="19"/>
      <c r="J45" s="19"/>
      <c r="K45" s="19"/>
      <c r="L45" s="19"/>
      <c r="M45" s="19"/>
      <c r="N45" s="19"/>
      <c r="O45" s="19"/>
      <c r="P45" s="19"/>
      <c r="Q45" s="19"/>
      <c r="R45" s="136" t="s">
        <v>1584</v>
      </c>
      <c r="S45" s="136">
        <f>COUNTIF(CleanedData!M112:M171,"arff")</f>
        <v>1</v>
      </c>
      <c r="T45" s="136" t="str">
        <f ca="1">IFERROR(__xludf.DUMMYFUNCTION("JOIN ("", "", FILTER(CleanedData!L112:L171, CleanedData!M112:M171=""arff""))"),"P34")</f>
        <v>P34</v>
      </c>
      <c r="U45" s="19"/>
      <c r="V45" s="19"/>
      <c r="W45" s="19"/>
      <c r="X45" s="19"/>
      <c r="Y45" s="19"/>
      <c r="Z45" s="19"/>
      <c r="AA45" s="19"/>
    </row>
    <row r="46" spans="1:27" ht="15.75" customHeight="1">
      <c r="A46" s="19"/>
      <c r="B46" s="19"/>
      <c r="C46" s="5" t="s">
        <v>1513</v>
      </c>
      <c r="D46" s="5">
        <f>COUNTIF(CleanedData!AP112:AP157,"PIM,PSM")</f>
        <v>6</v>
      </c>
      <c r="E46" s="19"/>
      <c r="F46" s="19"/>
      <c r="G46" s="19"/>
      <c r="H46" s="19"/>
      <c r="I46" s="19"/>
      <c r="J46" s="19"/>
      <c r="K46" s="19"/>
      <c r="L46" s="19"/>
      <c r="M46" s="19"/>
      <c r="N46" s="19"/>
      <c r="O46" s="19"/>
      <c r="P46" s="19"/>
      <c r="Q46" s="19"/>
      <c r="R46" s="136" t="s">
        <v>1587</v>
      </c>
      <c r="S46" s="136">
        <f>COUNTIF(CleanedData!M112:M171,"natural language")</f>
        <v>1</v>
      </c>
      <c r="T46" s="136" t="str">
        <f ca="1">IFERROR(__xludf.DUMMYFUNCTION("JOIN ("", "", FILTER(CleanedData!L112:L171, CleanedData!M112:M171=""natural language""))"),"P35")</f>
        <v>P35</v>
      </c>
      <c r="U46" s="19"/>
      <c r="V46" s="19"/>
      <c r="W46" s="19"/>
      <c r="X46" s="19"/>
      <c r="Y46" s="19"/>
      <c r="Z46" s="19"/>
      <c r="AA46" s="19"/>
    </row>
    <row r="47" spans="1:27" ht="15.75" customHeight="1">
      <c r="A47" s="19"/>
      <c r="C47" s="5" t="s">
        <v>1568</v>
      </c>
      <c r="D47" s="5">
        <f>COUNTIF(CleanedData!AP112:AP157,"CIM,PIM,PSM")</f>
        <v>1</v>
      </c>
      <c r="E47" s="19"/>
      <c r="F47" s="19"/>
      <c r="G47" s="19"/>
      <c r="H47" s="19"/>
      <c r="I47" s="19"/>
      <c r="J47" s="19"/>
      <c r="K47" s="19"/>
      <c r="L47" s="19"/>
      <c r="M47" s="19"/>
      <c r="N47" s="19"/>
      <c r="O47" s="19"/>
      <c r="P47" s="19"/>
      <c r="Q47" s="19"/>
      <c r="R47" s="136" t="s">
        <v>1596</v>
      </c>
      <c r="S47" s="136">
        <f>COUNTIF(CleanedData!M112:M171,"cypher")</f>
        <v>1</v>
      </c>
      <c r="T47" s="136" t="str">
        <f ca="1">IFERROR(__xludf.DUMMYFUNCTION("JOIN ("", "", FILTER(CleanedData!L112:L171, CleanedData!M112:M171=""cypher""))"),"P38")</f>
        <v>P38</v>
      </c>
      <c r="U47" s="19"/>
      <c r="V47" s="19"/>
      <c r="W47" s="19"/>
      <c r="X47" s="19"/>
      <c r="Y47" s="19"/>
      <c r="Z47" s="19"/>
      <c r="AA47" s="19"/>
    </row>
    <row r="48" spans="1:27" ht="15.75" customHeight="1">
      <c r="A48" s="19"/>
      <c r="B48" s="19"/>
      <c r="E48" s="19"/>
      <c r="F48" s="19"/>
      <c r="G48" s="19"/>
      <c r="H48" s="19"/>
      <c r="I48" s="19"/>
      <c r="J48" s="19"/>
      <c r="K48" s="19"/>
      <c r="L48" s="19"/>
      <c r="M48" s="19"/>
      <c r="N48" s="19"/>
      <c r="O48" s="19"/>
      <c r="P48" s="19"/>
      <c r="Q48" s="19"/>
      <c r="R48" s="136" t="s">
        <v>1385</v>
      </c>
      <c r="S48" s="136">
        <f>COUNTIF(CleanedData!M112:M171,"CUDA")</f>
        <v>2</v>
      </c>
      <c r="T48" s="136" t="str">
        <f ca="1">IFERROR(__xludf.DUMMYFUNCTION("JOIN ("", "", FILTER(CleanedData!L112:L171, CleanedData!M112:M171=""CUDA""))"),"P41, P46")</f>
        <v>P41, P46</v>
      </c>
      <c r="U48" s="19"/>
      <c r="V48" s="19"/>
      <c r="W48" s="19"/>
      <c r="X48" s="19"/>
      <c r="Y48" s="19"/>
      <c r="Z48" s="19"/>
      <c r="AA48" s="19"/>
    </row>
    <row r="49" spans="1:27" ht="15.75" customHeight="1">
      <c r="A49" s="19"/>
      <c r="B49" s="19"/>
      <c r="E49" s="19"/>
      <c r="F49" s="19"/>
      <c r="G49" s="19"/>
      <c r="H49" s="19"/>
      <c r="I49" s="19"/>
      <c r="J49" s="19"/>
      <c r="K49" s="19"/>
      <c r="L49" s="19"/>
      <c r="M49" s="19"/>
      <c r="N49" s="19"/>
      <c r="O49" s="19"/>
      <c r="P49" s="19"/>
      <c r="Q49" s="19"/>
      <c r="R49" s="136" t="s">
        <v>1605</v>
      </c>
      <c r="S49" s="136">
        <f>COUNTIF(CleanedData!M112:M171,"Scala")</f>
        <v>2</v>
      </c>
      <c r="T49" s="136" t="str">
        <f ca="1">IFERROR(__xludf.DUMMYFUNCTION("JOIN ("", "", FILTER(CleanedData!L112:L171, CleanedData!M112:M171=""Scala""))"),"P41, P43")</f>
        <v>P41, P43</v>
      </c>
      <c r="U49" s="19"/>
      <c r="V49" s="19"/>
      <c r="W49" s="19"/>
      <c r="X49" s="19"/>
      <c r="Y49" s="19"/>
      <c r="Z49" s="19"/>
      <c r="AA49" s="19"/>
    </row>
    <row r="50" spans="1:27" ht="15.75" customHeight="1">
      <c r="A50" s="19"/>
      <c r="B50" s="19"/>
      <c r="E50" s="19"/>
      <c r="F50" s="19"/>
      <c r="G50" s="19"/>
      <c r="H50" s="19"/>
      <c r="I50" s="19"/>
      <c r="J50" s="19"/>
      <c r="K50" s="19"/>
      <c r="L50" s="19"/>
      <c r="M50" s="19"/>
      <c r="N50" s="19"/>
      <c r="O50" s="19"/>
      <c r="P50" s="19"/>
      <c r="Q50" s="19"/>
      <c r="R50" s="136" t="s">
        <v>1606</v>
      </c>
      <c r="S50" s="136">
        <f>COUNTIF(CleanedData!M112:M171,"VHDL")</f>
        <v>1</v>
      </c>
      <c r="T50" s="136" t="str">
        <f ca="1">IFERROR(__xludf.DUMMYFUNCTION("JOIN ("", "", FILTER(CleanedData!L112:L171, CleanedData!M112:M171=""VHDL""))"),"P44")</f>
        <v>P44</v>
      </c>
      <c r="U50" s="19"/>
      <c r="V50" s="19"/>
      <c r="W50" s="19"/>
      <c r="X50" s="19"/>
      <c r="Y50" s="19"/>
      <c r="Z50" s="19"/>
      <c r="AA50" s="19"/>
    </row>
    <row r="51" spans="1:27" ht="15.75" customHeight="1">
      <c r="A51" s="19"/>
      <c r="B51" s="19"/>
      <c r="E51" s="19"/>
      <c r="F51" s="19"/>
      <c r="G51" s="19"/>
      <c r="H51" s="19"/>
      <c r="I51" s="19"/>
      <c r="J51" s="19"/>
      <c r="K51" s="19"/>
      <c r="L51" s="19"/>
      <c r="M51" s="19"/>
      <c r="N51" s="19"/>
      <c r="O51" s="19"/>
      <c r="P51" s="19"/>
      <c r="Q51" s="19"/>
      <c r="R51" s="136" t="s">
        <v>1969</v>
      </c>
      <c r="S51" s="136">
        <f>COUNTIF(CleanedData!M112:M171,"Unified Knowledge store definition")</f>
        <v>1</v>
      </c>
      <c r="T51" s="136" t="str">
        <f ca="1">IFERROR(__xludf.DUMMYFUNCTION("JOIN ("", "", FILTER(CleanedData!L112:L171, CleanedData!M112:M171=""Unified Knowledge store definition""))"),"P15")</f>
        <v>P15</v>
      </c>
      <c r="U51" s="19"/>
      <c r="V51" s="19"/>
      <c r="W51" s="19"/>
      <c r="X51" s="19"/>
      <c r="Y51" s="19"/>
      <c r="Z51" s="19"/>
      <c r="AA51" s="19"/>
    </row>
    <row r="52" spans="1:27" ht="15.75" customHeight="1">
      <c r="A52" s="19"/>
      <c r="B52" s="19"/>
      <c r="C52" s="19"/>
      <c r="D52" s="19"/>
      <c r="E52" s="19"/>
      <c r="F52" s="19"/>
      <c r="G52" s="19"/>
      <c r="H52" s="19"/>
      <c r="I52" s="19"/>
      <c r="J52" s="19"/>
      <c r="K52" s="19"/>
      <c r="L52" s="19"/>
      <c r="M52" s="19"/>
      <c r="N52" s="19"/>
      <c r="O52" s="19"/>
      <c r="P52" s="19"/>
      <c r="Q52" s="19"/>
      <c r="R52" s="140" t="s">
        <v>386</v>
      </c>
      <c r="S52" s="140">
        <f>COUNTIF(CleanedData!M112:M171,"N/A")</f>
        <v>5</v>
      </c>
      <c r="T52" s="140" t="str">
        <f ca="1">IFERROR(__xludf.DUMMYFUNCTION("JOIN ("", "", FILTER(CleanedData!L112:L171, CleanedData!M112:M171=""N/A""))"),"P3, P18, P29, P33, P40")</f>
        <v>P3, P18, P29, P33, P40</v>
      </c>
      <c r="U52" s="19"/>
      <c r="V52" s="19"/>
      <c r="W52" s="19"/>
      <c r="X52" s="19"/>
      <c r="Y52" s="19"/>
      <c r="Z52" s="19"/>
      <c r="AA52" s="19"/>
    </row>
    <row r="53" spans="1:27" ht="15.75" customHeight="1">
      <c r="A53" s="19"/>
      <c r="B53" s="19"/>
      <c r="C53" s="19"/>
      <c r="D53" s="19"/>
      <c r="E53" s="19"/>
      <c r="F53" s="19"/>
      <c r="G53" s="19"/>
      <c r="H53" s="19"/>
      <c r="I53" s="19"/>
      <c r="J53" s="19"/>
      <c r="K53" s="19"/>
      <c r="L53" s="19"/>
      <c r="M53" s="19"/>
      <c r="N53" s="19"/>
      <c r="O53" s="19"/>
      <c r="P53" s="19"/>
      <c r="Q53" s="19"/>
      <c r="R53" s="147"/>
      <c r="S53" s="147"/>
      <c r="T53" s="147"/>
      <c r="U53" s="19"/>
      <c r="V53" s="19"/>
      <c r="W53" s="19"/>
      <c r="X53" s="19"/>
      <c r="Y53" s="19"/>
      <c r="Z53" s="19"/>
      <c r="AA53" s="19"/>
    </row>
    <row r="54" spans="1:27"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ht="15.75" customHeight="1">
      <c r="A56" s="19"/>
      <c r="B56" s="279" t="s">
        <v>1970</v>
      </c>
      <c r="C56" s="280"/>
      <c r="D56" s="280"/>
      <c r="E56" s="281"/>
      <c r="F56" s="19"/>
      <c r="G56" s="279" t="s">
        <v>1971</v>
      </c>
      <c r="H56" s="280"/>
      <c r="I56" s="280"/>
      <c r="J56" s="281"/>
      <c r="K56" s="19"/>
      <c r="L56" s="19"/>
      <c r="M56" s="19"/>
      <c r="N56" s="279" t="s">
        <v>214</v>
      </c>
      <c r="O56" s="280"/>
      <c r="P56" s="280"/>
      <c r="Q56" s="280"/>
      <c r="R56" s="280"/>
      <c r="S56" s="280"/>
      <c r="T56" s="280"/>
      <c r="U56" s="281"/>
      <c r="V56" s="19"/>
      <c r="W56" s="19"/>
      <c r="X56" s="19"/>
      <c r="Y56" s="19"/>
      <c r="Z56" s="19"/>
      <c r="AA56" s="19"/>
    </row>
    <row r="57" spans="1:27" ht="15.75" customHeight="1">
      <c r="A57" s="19"/>
      <c r="B57" s="282"/>
      <c r="C57" s="268"/>
      <c r="D57" s="268"/>
      <c r="E57" s="283"/>
      <c r="F57" s="19"/>
      <c r="G57" s="282"/>
      <c r="H57" s="268"/>
      <c r="I57" s="268"/>
      <c r="J57" s="283"/>
      <c r="K57" s="19"/>
      <c r="L57" s="19"/>
      <c r="M57" s="19"/>
      <c r="N57" s="282"/>
      <c r="O57" s="268"/>
      <c r="P57" s="268"/>
      <c r="Q57" s="268"/>
      <c r="R57" s="268"/>
      <c r="S57" s="268"/>
      <c r="T57" s="268"/>
      <c r="U57" s="283"/>
      <c r="V57" s="19"/>
      <c r="W57" s="19"/>
      <c r="X57" s="19"/>
      <c r="Y57" s="19"/>
      <c r="Z57" s="19"/>
      <c r="AA57" s="19"/>
    </row>
    <row r="58" spans="1:27" ht="15.75" customHeight="1">
      <c r="A58" s="19"/>
      <c r="B58" s="284"/>
      <c r="C58" s="285"/>
      <c r="D58" s="285"/>
      <c r="E58" s="286"/>
      <c r="F58" s="19"/>
      <c r="G58" s="284"/>
      <c r="H58" s="285"/>
      <c r="I58" s="285"/>
      <c r="J58" s="286"/>
      <c r="K58" s="19"/>
      <c r="L58" s="19"/>
      <c r="M58" s="19"/>
      <c r="N58" s="284"/>
      <c r="O58" s="285"/>
      <c r="P58" s="285"/>
      <c r="Q58" s="285"/>
      <c r="R58" s="285"/>
      <c r="S58" s="285"/>
      <c r="T58" s="285"/>
      <c r="U58" s="286"/>
      <c r="V58" s="19"/>
      <c r="W58" s="19"/>
      <c r="X58" s="19"/>
      <c r="Y58" s="19"/>
      <c r="Z58" s="19"/>
      <c r="AA58" s="19"/>
    </row>
    <row r="59" spans="1:27" ht="14">
      <c r="A59" s="19"/>
      <c r="B59" s="274" t="s">
        <v>1972</v>
      </c>
      <c r="C59" s="268"/>
      <c r="D59" s="268"/>
      <c r="E59" s="268"/>
      <c r="F59" s="19"/>
      <c r="G59" s="274" t="s">
        <v>1973</v>
      </c>
      <c r="H59" s="268"/>
      <c r="I59" s="268"/>
      <c r="J59" s="268"/>
      <c r="K59" s="19"/>
      <c r="L59" s="19"/>
      <c r="M59" s="19"/>
      <c r="N59" s="19"/>
      <c r="O59" s="19"/>
      <c r="P59" s="19"/>
      <c r="Q59" s="19"/>
      <c r="R59" s="19"/>
      <c r="S59" s="19"/>
      <c r="T59" s="19"/>
      <c r="U59" s="19"/>
      <c r="V59" s="19"/>
      <c r="W59" s="19"/>
      <c r="X59" s="19"/>
      <c r="Y59" s="19"/>
      <c r="Z59" s="19"/>
      <c r="AA59" s="19"/>
    </row>
    <row r="60" spans="1:27" ht="30">
      <c r="A60" s="19"/>
      <c r="B60" s="133" t="s">
        <v>1974</v>
      </c>
      <c r="C60" s="133" t="s">
        <v>1841</v>
      </c>
      <c r="D60" s="276" t="s">
        <v>1469</v>
      </c>
      <c r="E60" s="273"/>
      <c r="F60" s="19"/>
      <c r="G60" s="133" t="s">
        <v>1975</v>
      </c>
      <c r="H60" s="124" t="s">
        <v>1841</v>
      </c>
      <c r="I60" s="276" t="s">
        <v>1469</v>
      </c>
      <c r="J60" s="273"/>
      <c r="K60" s="19"/>
      <c r="L60" s="19"/>
      <c r="M60" s="19"/>
      <c r="N60" s="19"/>
      <c r="O60" s="19"/>
      <c r="P60" s="19"/>
      <c r="Q60" s="19"/>
      <c r="R60" s="19"/>
      <c r="S60" s="274" t="s">
        <v>1976</v>
      </c>
      <c r="T60" s="268"/>
      <c r="U60" s="268"/>
      <c r="V60" s="19"/>
      <c r="W60" s="19"/>
      <c r="X60" s="19"/>
      <c r="Y60" s="19"/>
      <c r="Z60" s="19"/>
      <c r="AA60" s="19"/>
    </row>
    <row r="61" spans="1:27" ht="15">
      <c r="A61" s="19"/>
      <c r="B61" s="5" t="s">
        <v>354</v>
      </c>
      <c r="C61" s="5">
        <f>COUNTIF(CleanedData!P112:P159,"fairness")</f>
        <v>4</v>
      </c>
      <c r="D61" s="271" t="str">
        <f ca="1">IFERROR(__xludf.DUMMYFUNCTION("JOIN ("", "", FILTER(CleanedData!O112:O159, CleanedData!P112:P159=""fairness""))"),"P2, P7, P10, P31")</f>
        <v>P2, P7, P10, P31</v>
      </c>
      <c r="E61" s="273"/>
      <c r="F61" s="19"/>
      <c r="G61" s="5" t="s">
        <v>268</v>
      </c>
      <c r="H61" s="5">
        <f>COUNTIF(CleanedData!J112:J157,"yes")</f>
        <v>5</v>
      </c>
      <c r="I61" s="271" t="str">
        <f ca="1">IFERROR(__xludf.DUMMYFUNCTION("JOIN ("", "", FILTER(CleanedData!A112:A157, CleanedData!J112:J157=""yes""))"),"P2, P3, P10, P27, P35")</f>
        <v>P2, P3, P10, P27, P35</v>
      </c>
      <c r="J61" s="273"/>
      <c r="K61" s="19"/>
      <c r="L61" s="19"/>
      <c r="M61" s="19"/>
      <c r="O61" s="19"/>
      <c r="P61" s="19"/>
      <c r="Q61" s="19"/>
      <c r="R61" s="19"/>
      <c r="S61" s="133" t="s">
        <v>1977</v>
      </c>
      <c r="T61" s="133" t="s">
        <v>1469</v>
      </c>
      <c r="U61" s="123" t="s">
        <v>1841</v>
      </c>
      <c r="V61" s="148"/>
      <c r="W61" s="19"/>
      <c r="X61" s="19"/>
      <c r="Y61" s="19"/>
      <c r="Z61" s="19"/>
      <c r="AA61" s="19"/>
    </row>
    <row r="62" spans="1:27" ht="15">
      <c r="A62" s="19"/>
      <c r="B62" s="5" t="s">
        <v>1978</v>
      </c>
      <c r="C62" s="5">
        <f>COUNTIF(CleanedData!P112:P159,"trust")</f>
        <v>1</v>
      </c>
      <c r="D62" s="271" t="str">
        <f ca="1">IFERROR(__xludf.DUMMYFUNCTION("JOIN ("", "", FILTER(CleanedData!O112:O159, CleanedData!P112:P159=""trust""))"),"P3")</f>
        <v>P3</v>
      </c>
      <c r="E62" s="273"/>
      <c r="F62" s="19"/>
      <c r="G62" s="5" t="s">
        <v>351</v>
      </c>
      <c r="H62" s="5">
        <f>COUNTIF(CleanedData!J112:J157,"no")</f>
        <v>41</v>
      </c>
      <c r="I62" s="299" t="str">
        <f ca="1">IFERROR(__xludf.DUMMYFUNCTION("JOIN ("", "", FILTER(CleanedData!A112:A157, CleanedData!J112:J157=""no""))"),"P1, P4, P5, P6, P7, P8, P9, P11, P12, P13, P14, P15, P16, P17, P18, P19, P20, P21, P22, P23, P24, P25, P26, P28, P29, P30, P31, P32, P33, P34, P36, P37, P38, P39, P40, P41, P42, P43, P44, P45, P46")</f>
        <v>P1, P4, P5, P6, P7, P8, P9, P11, P12, P13, P14, P15, P16, P17, P18, P19, P20, P21, P22, P23, P24, P25, P26, P28, P29, P30, P31, P32, P33, P34, P36, P37, P38, P39, P40, P41, P42, P43, P44, P45, P46</v>
      </c>
      <c r="J62" s="273"/>
      <c r="K62" s="19"/>
      <c r="L62" s="19"/>
      <c r="M62" s="19"/>
      <c r="N62" s="19"/>
      <c r="O62" s="19"/>
      <c r="P62" s="19"/>
      <c r="Q62" s="19"/>
      <c r="R62" s="19"/>
      <c r="S62" s="149" t="s">
        <v>1427</v>
      </c>
      <c r="T62" s="136" t="str">
        <f ca="1">IFERROR(__xludf.DUMMYFUNCTION("JOIN ("", "", FILTER(CleanedData!AJ112:AJ181, CleanedData!AK112:AK181=""API code""))"),"P4, P8")</f>
        <v>P4, P8</v>
      </c>
      <c r="U62" s="125">
        <f>COUNTIF(CleanedData!AK112:AK181,"API code")</f>
        <v>2</v>
      </c>
      <c r="V62" s="150"/>
      <c r="W62" s="19"/>
      <c r="X62" s="19"/>
      <c r="Y62" s="19"/>
      <c r="Z62" s="19"/>
      <c r="AA62" s="19"/>
    </row>
    <row r="63" spans="1:27" ht="30">
      <c r="A63" s="19"/>
      <c r="B63" s="5" t="s">
        <v>1979</v>
      </c>
      <c r="C63" s="5">
        <f>COUNTIF(CleanedData!P112:P159,"explainability")</f>
        <v>2</v>
      </c>
      <c r="D63" s="271" t="str">
        <f ca="1">IFERROR(__xludf.DUMMYFUNCTION("JOIN ("", "", FILTER(CleanedData!O112:O159, CleanedData!P112:P159=""explainability""))"),"P33, P45")</f>
        <v>P33, P45</v>
      </c>
      <c r="E63" s="273"/>
      <c r="F63" s="19"/>
      <c r="G63" s="19"/>
      <c r="H63" s="19"/>
      <c r="I63" s="19"/>
      <c r="J63" s="19"/>
      <c r="K63" s="19"/>
      <c r="L63" s="19"/>
      <c r="M63" s="19"/>
      <c r="N63" s="19"/>
      <c r="O63" s="19"/>
      <c r="P63" s="19"/>
      <c r="Q63" s="19"/>
      <c r="R63" s="19"/>
      <c r="S63" s="136" t="s">
        <v>1462</v>
      </c>
      <c r="T63" s="136" t="str">
        <f ca="1">IFERROR(__xludf.DUMMYFUNCTION("JOIN ("", "", FILTER(CleanedData!AJ112:AJ181, CleanedData!AK112:AK181=""dataset/subset of dataset""))"),"P31, P36, P39, P45")</f>
        <v>P31, P36, P39, P45</v>
      </c>
      <c r="U63" s="125">
        <f>COUNTIF(CleanedData!AK112:AK181,"dataset/subset of dataset")</f>
        <v>4</v>
      </c>
      <c r="V63" s="150"/>
      <c r="W63" s="19"/>
      <c r="X63" s="19"/>
      <c r="Y63" s="19"/>
      <c r="Z63" s="19"/>
      <c r="AA63" s="19"/>
    </row>
    <row r="64" spans="1:27" ht="30">
      <c r="A64" s="19"/>
      <c r="B64" s="5" t="s">
        <v>1980</v>
      </c>
      <c r="C64" s="5">
        <f>COUNTIF(CleanedData!P112:P159,"other")</f>
        <v>2</v>
      </c>
      <c r="D64" s="271" t="str">
        <f ca="1">IFERROR(__xludf.DUMMYFUNCTION("JOIN ("", "", FILTER(CleanedData!O112:O159, CleanedData!P112:P159=""other""))"),"P10, P33")</f>
        <v>P10, P33</v>
      </c>
      <c r="E64" s="273"/>
      <c r="F64" s="19"/>
      <c r="G64" s="19"/>
      <c r="H64" s="19"/>
      <c r="I64" s="19"/>
      <c r="J64" s="19"/>
      <c r="K64" s="19"/>
      <c r="L64" s="19"/>
      <c r="M64" s="19"/>
      <c r="N64" s="19"/>
      <c r="O64" s="19"/>
      <c r="P64" s="19"/>
      <c r="Q64" s="19"/>
      <c r="R64" s="19"/>
      <c r="S64" s="149" t="s">
        <v>1424</v>
      </c>
      <c r="T64" s="136" t="str">
        <f ca="1">IFERROR(__xludf.DUMMYFUNCTION("JOIN ("", "", FILTER(CleanedData!AJ112:AJ181, CleanedData!AK112:AK181=""deployment configurations/files""))"),"P3, P6, P13, P16, P26, P31, P34, P37")</f>
        <v>P3, P6, P13, P16, P26, P31, P34, P37</v>
      </c>
      <c r="U64" s="125">
        <f>COUNTIF(CleanedData!AK112:AK181,"deployment configurations/files")</f>
        <v>8</v>
      </c>
      <c r="V64" s="150"/>
      <c r="W64" s="19"/>
      <c r="X64" s="19"/>
      <c r="Y64" s="19"/>
      <c r="Z64" s="19"/>
      <c r="AA64" s="19"/>
    </row>
    <row r="65" spans="1:27" ht="15">
      <c r="A65" s="19"/>
      <c r="B65" s="5" t="s">
        <v>1981</v>
      </c>
      <c r="C65" s="5">
        <f>COUNTIF(CleanedData!P112:P159,"no")</f>
        <v>39</v>
      </c>
      <c r="D65" s="299" t="str">
        <f ca="1">IFERROR(__xludf.DUMMYFUNCTION("JOIN ("", "", FILTER(CleanedData!O112:O159, CleanedData!P112:P159=""no""))"),"P1, P4, P5, P6, P8, P9, P11, P12, P13, P14, P15, P16, P17, P18, P19, P20, P21, P22, P23, P24, P25, P26, P27, P28, P29, P30, P32, P34, P35, P36, P37, P38, P39, P40, P41, P42, P43, P44, P46")</f>
        <v>P1, P4, P5, P6, P8, P9, P11, P12, P13, P14, P15, P16, P17, P18, P19, P20, P21, P22, P23, P24, P25, P26, P27, P28, P29, P30, P32, P34, P35, P36, P37, P38, P39, P40, P41, P42, P43, P44, P46</v>
      </c>
      <c r="E65" s="273"/>
      <c r="F65" s="19"/>
      <c r="G65" s="19"/>
      <c r="H65" s="19"/>
      <c r="I65" s="19"/>
      <c r="J65" s="19"/>
      <c r="K65" s="19"/>
      <c r="L65" s="19"/>
      <c r="M65" s="19"/>
      <c r="N65" s="19"/>
      <c r="O65" s="19"/>
      <c r="P65" s="19"/>
      <c r="Q65" s="19"/>
      <c r="R65" s="19"/>
      <c r="S65" s="136" t="s">
        <v>1982</v>
      </c>
      <c r="T65" s="136" t="str">
        <f ca="1">IFERROR(__xludf.DUMMYFUNCTION("JOIN ("", "", FILTER(CleanedData!AJ112:AJ181, CleanedData!AK112:AK181=""meta model""))"),"P26")</f>
        <v>P26</v>
      </c>
      <c r="U65" s="125">
        <f>COUNTIF(CleanedData!AK112:AK181,"meta model")</f>
        <v>1</v>
      </c>
      <c r="V65" s="150"/>
      <c r="W65" s="19"/>
      <c r="X65" s="19"/>
      <c r="Y65" s="19"/>
      <c r="Z65" s="19"/>
      <c r="AA65" s="19"/>
    </row>
    <row r="66" spans="1:27" ht="75">
      <c r="A66" s="19"/>
      <c r="B66" s="19"/>
      <c r="C66" s="19"/>
      <c r="D66" s="19"/>
      <c r="E66" s="19"/>
      <c r="F66" s="19"/>
      <c r="G66" s="19"/>
      <c r="H66" s="19"/>
      <c r="I66" s="19"/>
      <c r="J66" s="19"/>
      <c r="K66" s="19"/>
      <c r="L66" s="19"/>
      <c r="M66" s="19"/>
      <c r="N66" s="19"/>
      <c r="O66" s="19"/>
      <c r="P66" s="19"/>
      <c r="Q66" s="19"/>
      <c r="R66" s="19"/>
      <c r="S66" s="149" t="s">
        <v>1406</v>
      </c>
      <c r="T66" s="136" t="str">
        <f ca="1">IFERROR(__xludf.DUMMYFUNCTION("JOIN ("", "", FILTER(CleanedData!AJ112:AJ181, CleanedData!AK112:AK181=""ml model/training code""))"),"P1, P2, P3, P5, P7, P8, P9, P11, P12, P13, P14, P16, P17, P19, P20, P21, P22, P23, P24, P25, P27, P28, P30, P31, P32, P35, P36, P37, P38, P39, P41, P42, P43, P44, P45, P46")</f>
        <v>P1, P2, P3, P5, P7, P8, P9, P11, P12, P13, P14, P16, P17, P19, P20, P21, P22, P23, P24, P25, P27, P28, P30, P31, P32, P35, P36, P37, P38, P39, P41, P42, P43, P44, P45, P46</v>
      </c>
      <c r="U66" s="125">
        <f>COUNTIF(CleanedData!AK112:AK181,"ml model/training code")</f>
        <v>36</v>
      </c>
      <c r="V66" s="150"/>
      <c r="W66" s="19"/>
      <c r="X66" s="19"/>
      <c r="Y66" s="19"/>
      <c r="Z66" s="19"/>
      <c r="AA66" s="19"/>
    </row>
    <row r="67" spans="1:27" ht="30">
      <c r="A67" s="19"/>
      <c r="B67" s="19"/>
      <c r="C67" s="19"/>
      <c r="D67" s="19"/>
      <c r="E67" s="19"/>
      <c r="F67" s="19"/>
      <c r="G67" s="133" t="s">
        <v>1983</v>
      </c>
      <c r="H67" s="133" t="s">
        <v>1841</v>
      </c>
      <c r="I67" s="293" t="s">
        <v>1469</v>
      </c>
      <c r="J67" s="273"/>
      <c r="K67" s="19"/>
      <c r="L67" s="19"/>
      <c r="M67" s="19"/>
      <c r="N67" s="19"/>
      <c r="O67" s="19"/>
      <c r="P67" s="19"/>
      <c r="Q67" s="19"/>
      <c r="R67" s="19"/>
      <c r="S67" s="136" t="s">
        <v>1984</v>
      </c>
      <c r="T67" s="136" t="str">
        <f ca="1">IFERROR(__xludf.DUMMYFUNCTION("JOIN ("", "", FILTER(CleanedData!AJ112:AJ181, CleanedData!AK112:AK181=""recommendation rules/queries""))"),"P15, P38")</f>
        <v>P15, P38</v>
      </c>
      <c r="U67" s="125">
        <f>COUNTIF(CleanedData!AK112:AK181,"recommendation rules/queries")</f>
        <v>2</v>
      </c>
      <c r="V67" s="150"/>
      <c r="W67" s="19"/>
      <c r="X67" s="19"/>
      <c r="Y67" s="19"/>
      <c r="Z67" s="19"/>
      <c r="AA67" s="19"/>
    </row>
    <row r="68" spans="1:27" ht="30">
      <c r="A68" s="19"/>
      <c r="B68" s="19"/>
      <c r="C68" s="19"/>
      <c r="D68" s="19"/>
      <c r="E68" s="19"/>
      <c r="F68" s="19"/>
      <c r="G68" s="136" t="s">
        <v>268</v>
      </c>
      <c r="H68" s="136">
        <v>9</v>
      </c>
      <c r="I68" s="299" t="s">
        <v>1985</v>
      </c>
      <c r="J68" s="273"/>
      <c r="K68" s="19"/>
      <c r="L68" s="19"/>
      <c r="M68" s="19"/>
      <c r="N68" s="19"/>
      <c r="O68" s="19"/>
      <c r="P68" s="19"/>
      <c r="Q68" s="19"/>
      <c r="R68" s="19"/>
      <c r="S68" s="149" t="s">
        <v>1412</v>
      </c>
      <c r="T68" s="136" t="str">
        <f ca="1">IFERROR(__xludf.DUMMYFUNCTION("JOIN ("", "", FILTER(CleanedData!AJ112:AJ181, CleanedData!AK112:AK181=""software model""))"),"P1, P4, P6, P7, P9, P14, P18, P20, P25, P28, P29, P33, P40, P41, P42")</f>
        <v>P1, P4, P6, P7, P9, P14, P18, P20, P25, P28, P29, P33, P40, P41, P42</v>
      </c>
      <c r="U68" s="125">
        <f>COUNTIF(CleanedData!AK112:AK181,"software model")</f>
        <v>15</v>
      </c>
      <c r="V68" s="150"/>
      <c r="W68" s="19"/>
      <c r="X68" s="19"/>
      <c r="Y68" s="19"/>
      <c r="Z68" s="19"/>
      <c r="AA68" s="19"/>
    </row>
    <row r="69" spans="1:27" ht="15">
      <c r="A69" s="19"/>
      <c r="B69" s="19"/>
      <c r="C69" s="19"/>
      <c r="D69" s="19"/>
      <c r="E69" s="19"/>
      <c r="F69" s="19"/>
      <c r="G69" s="136" t="s">
        <v>351</v>
      </c>
      <c r="H69" s="136">
        <v>37</v>
      </c>
      <c r="I69" s="299" t="s">
        <v>1986</v>
      </c>
      <c r="J69" s="273"/>
      <c r="K69" s="19"/>
      <c r="L69" s="19"/>
      <c r="M69" s="19"/>
      <c r="N69" s="19"/>
      <c r="O69" s="19"/>
      <c r="P69" s="19"/>
      <c r="Q69" s="19"/>
      <c r="R69" s="19"/>
      <c r="S69" s="140" t="s">
        <v>1437</v>
      </c>
      <c r="T69" s="140" t="str">
        <f ca="1">IFERROR(__xludf.DUMMYFUNCTION("JOIN ("", "", FILTER(CleanedData!AJ112:AJ181, CleanedData!AK112:AK181=""text files/documents""))"),"P10, P35")</f>
        <v>P10, P35</v>
      </c>
      <c r="U69" s="125">
        <f>COUNTIF(CleanedData!AK112:AK181,"text files/documents")</f>
        <v>2</v>
      </c>
      <c r="V69" s="150"/>
      <c r="W69" s="19"/>
      <c r="X69" s="19"/>
      <c r="Y69" s="19"/>
      <c r="Z69" s="19"/>
      <c r="AA69" s="19"/>
    </row>
    <row r="70" spans="1:27" ht="14">
      <c r="A70" s="19"/>
      <c r="B70" s="19"/>
      <c r="C70" s="19"/>
      <c r="D70" s="19"/>
      <c r="E70" s="19"/>
      <c r="F70" s="19"/>
      <c r="G70" s="19"/>
      <c r="H70" s="19"/>
      <c r="I70" s="19"/>
      <c r="J70" s="19"/>
      <c r="K70" s="19"/>
      <c r="L70" s="19"/>
      <c r="M70" s="19"/>
      <c r="N70" s="19"/>
      <c r="O70" s="19"/>
      <c r="P70" s="19"/>
      <c r="Q70" s="19"/>
      <c r="R70" s="19"/>
      <c r="S70" s="151"/>
      <c r="T70" s="151"/>
      <c r="U70" s="152"/>
      <c r="V70" s="19"/>
      <c r="W70" s="19"/>
      <c r="X70" s="19"/>
      <c r="Y70" s="19"/>
      <c r="Z70" s="19"/>
      <c r="AA70" s="19"/>
    </row>
    <row r="71" spans="1:27" ht="14">
      <c r="A71" s="19"/>
      <c r="B71" s="19"/>
      <c r="C71" s="19"/>
      <c r="D71" s="19"/>
      <c r="E71" s="19"/>
      <c r="F71" s="19"/>
      <c r="G71" s="19"/>
      <c r="H71" s="19"/>
      <c r="I71" s="19"/>
      <c r="J71" s="19"/>
      <c r="K71" s="19"/>
      <c r="L71" s="19"/>
      <c r="M71" s="19"/>
      <c r="N71" s="19"/>
      <c r="O71" s="19"/>
      <c r="P71" s="19"/>
      <c r="Q71" s="19"/>
      <c r="R71" s="19"/>
      <c r="S71" s="153"/>
      <c r="T71" s="153"/>
      <c r="U71" s="153"/>
      <c r="V71" s="19"/>
      <c r="W71" s="19"/>
      <c r="X71" s="19"/>
      <c r="Y71" s="19"/>
      <c r="Z71" s="19"/>
      <c r="AA71" s="19"/>
    </row>
    <row r="72" spans="1:27" ht="14">
      <c r="A72" s="19"/>
      <c r="B72" s="19"/>
      <c r="C72" s="19"/>
      <c r="D72" s="19"/>
      <c r="E72" s="19"/>
      <c r="F72" s="19"/>
      <c r="G72" s="19"/>
      <c r="H72" s="19"/>
      <c r="I72" s="19"/>
      <c r="J72" s="19"/>
      <c r="K72" s="19"/>
      <c r="L72" s="19"/>
      <c r="M72" s="19"/>
      <c r="N72" s="19"/>
      <c r="O72" s="19"/>
      <c r="P72" s="19"/>
      <c r="Q72" s="19"/>
      <c r="R72" s="19"/>
      <c r="S72" s="153"/>
      <c r="T72" s="153"/>
      <c r="U72" s="153"/>
      <c r="V72" s="19"/>
      <c r="W72" s="19"/>
      <c r="X72" s="19"/>
      <c r="Y72" s="19"/>
      <c r="Z72" s="19"/>
      <c r="AA72" s="19"/>
    </row>
    <row r="73" spans="1:27" ht="14">
      <c r="A73" s="19"/>
      <c r="B73" s="19"/>
      <c r="C73" s="19"/>
      <c r="D73" s="19"/>
      <c r="E73" s="19"/>
      <c r="F73" s="19"/>
      <c r="G73" s="19"/>
      <c r="H73" s="19"/>
      <c r="I73" s="19"/>
      <c r="J73" s="19"/>
      <c r="K73" s="19"/>
      <c r="L73" s="19"/>
      <c r="M73" s="19"/>
      <c r="N73" s="19"/>
      <c r="O73" s="19"/>
      <c r="P73" s="19"/>
      <c r="Q73" s="19"/>
      <c r="R73" s="19"/>
      <c r="S73" s="153"/>
      <c r="T73" s="153"/>
      <c r="U73" s="153"/>
      <c r="V73" s="19"/>
      <c r="W73" s="19"/>
      <c r="X73" s="19"/>
      <c r="Y73" s="19"/>
      <c r="Z73" s="19"/>
      <c r="AA73" s="19"/>
    </row>
    <row r="74" spans="1:27" ht="14">
      <c r="A74" s="19"/>
      <c r="B74" s="19"/>
      <c r="C74" s="19"/>
      <c r="D74" s="19"/>
      <c r="E74" s="19"/>
      <c r="F74" s="19"/>
      <c r="G74" s="19"/>
      <c r="H74" s="19"/>
      <c r="I74" s="19"/>
      <c r="J74" s="19"/>
      <c r="K74" s="19"/>
      <c r="L74" s="19"/>
      <c r="M74" s="19"/>
      <c r="N74" s="154"/>
      <c r="O74" s="154"/>
      <c r="P74" s="154"/>
      <c r="Q74" s="154"/>
      <c r="R74" s="154"/>
      <c r="S74" s="154"/>
      <c r="T74" s="154"/>
      <c r="U74" s="154"/>
      <c r="V74" s="19"/>
      <c r="W74" s="19"/>
      <c r="X74" s="19"/>
      <c r="Y74" s="19"/>
      <c r="Z74" s="19"/>
      <c r="AA74" s="19"/>
    </row>
    <row r="75" spans="1:27" ht="14">
      <c r="A75" s="19"/>
      <c r="B75" s="19"/>
      <c r="C75" s="19"/>
      <c r="D75" s="19"/>
      <c r="E75" s="19"/>
      <c r="F75" s="19"/>
      <c r="G75" s="19"/>
      <c r="H75" s="19"/>
      <c r="I75" s="19"/>
      <c r="J75" s="19"/>
      <c r="K75" s="19"/>
      <c r="L75" s="19"/>
      <c r="M75" s="19"/>
      <c r="N75" s="154"/>
      <c r="O75" s="154"/>
      <c r="P75" s="154"/>
      <c r="Q75" s="154"/>
      <c r="R75" s="154"/>
      <c r="S75" s="154"/>
      <c r="T75" s="154"/>
      <c r="U75" s="154"/>
      <c r="V75" s="19"/>
      <c r="W75" s="19"/>
      <c r="X75" s="19"/>
      <c r="Y75" s="19"/>
      <c r="Z75" s="19"/>
      <c r="AA75" s="19"/>
    </row>
    <row r="76" spans="1:27" ht="14">
      <c r="A76" s="19"/>
      <c r="B76" s="19"/>
      <c r="C76" s="19"/>
      <c r="D76" s="19"/>
      <c r="E76" s="19"/>
      <c r="F76" s="19"/>
      <c r="G76" s="19"/>
      <c r="H76" s="19"/>
      <c r="I76" s="19"/>
      <c r="J76" s="19"/>
      <c r="K76" s="19"/>
      <c r="L76" s="19"/>
      <c r="M76" s="19"/>
      <c r="N76" s="154"/>
      <c r="O76" s="154"/>
      <c r="P76" s="154"/>
      <c r="Q76" s="154"/>
      <c r="R76" s="154"/>
      <c r="S76" s="154"/>
      <c r="T76" s="154"/>
      <c r="U76" s="154"/>
      <c r="V76" s="19"/>
      <c r="W76" s="19"/>
      <c r="X76" s="19"/>
      <c r="Y76" s="19"/>
      <c r="Z76" s="19"/>
      <c r="AA76" s="19"/>
    </row>
    <row r="77" spans="1:27" ht="14">
      <c r="A77" s="19"/>
      <c r="B77" s="19"/>
      <c r="C77" s="19"/>
      <c r="D77" s="19"/>
      <c r="E77" s="19"/>
      <c r="F77" s="19"/>
      <c r="G77" s="19"/>
      <c r="H77" s="19"/>
      <c r="I77" s="19"/>
      <c r="J77" s="19"/>
      <c r="K77" s="19"/>
      <c r="L77" s="19"/>
      <c r="M77" s="19"/>
      <c r="N77" s="154"/>
      <c r="O77" s="154"/>
      <c r="P77" s="154"/>
      <c r="Q77" s="154"/>
      <c r="R77" s="154"/>
      <c r="S77" s="154"/>
      <c r="T77" s="154"/>
      <c r="U77" s="154"/>
      <c r="V77" s="19"/>
      <c r="W77" s="19"/>
      <c r="X77" s="19"/>
      <c r="Y77" s="19"/>
      <c r="Z77" s="19"/>
      <c r="AA77" s="19"/>
    </row>
    <row r="78" spans="1:27" ht="14">
      <c r="A78" s="19"/>
      <c r="B78" s="154"/>
      <c r="C78" s="154"/>
      <c r="D78" s="154"/>
      <c r="E78" s="154"/>
      <c r="F78" s="154"/>
      <c r="G78" s="154"/>
      <c r="H78" s="154"/>
      <c r="I78" s="154"/>
      <c r="J78" s="120"/>
      <c r="K78" s="120"/>
      <c r="L78" s="120"/>
      <c r="M78" s="19"/>
      <c r="N78" s="155"/>
      <c r="O78" s="155"/>
      <c r="P78" s="155"/>
      <c r="Q78" s="154"/>
      <c r="R78" s="154"/>
      <c r="S78" s="154"/>
      <c r="T78" s="154"/>
      <c r="U78" s="154"/>
      <c r="V78" s="154"/>
      <c r="W78" s="19"/>
      <c r="X78" s="19"/>
      <c r="Y78" s="19"/>
      <c r="Z78" s="19"/>
      <c r="AA78" s="19"/>
    </row>
    <row r="79" spans="1:27" ht="14">
      <c r="A79" s="19"/>
      <c r="B79" s="301" t="s">
        <v>1987</v>
      </c>
      <c r="C79" s="280"/>
      <c r="D79" s="280"/>
      <c r="E79" s="280"/>
      <c r="F79" s="280"/>
      <c r="G79" s="281"/>
      <c r="H79" s="154"/>
      <c r="I79" s="156"/>
      <c r="J79" s="300" t="s">
        <v>1988</v>
      </c>
      <c r="K79" s="280"/>
      <c r="L79" s="281"/>
      <c r="M79" s="19"/>
      <c r="N79" s="320" t="s">
        <v>1989</v>
      </c>
      <c r="O79" s="280"/>
      <c r="P79" s="281"/>
      <c r="Q79" s="154"/>
      <c r="R79" s="154"/>
      <c r="S79" s="301" t="s">
        <v>1990</v>
      </c>
      <c r="T79" s="280"/>
      <c r="U79" s="280"/>
      <c r="V79" s="281"/>
      <c r="W79" s="19"/>
      <c r="X79" s="19"/>
      <c r="Y79" s="19"/>
      <c r="Z79" s="19"/>
      <c r="AA79" s="19"/>
    </row>
    <row r="80" spans="1:27" ht="14">
      <c r="A80" s="19"/>
      <c r="B80" s="282"/>
      <c r="C80" s="268"/>
      <c r="D80" s="268"/>
      <c r="E80" s="268"/>
      <c r="F80" s="268"/>
      <c r="G80" s="283"/>
      <c r="H80" s="154"/>
      <c r="I80" s="156"/>
      <c r="J80" s="268"/>
      <c r="K80" s="268"/>
      <c r="L80" s="283"/>
      <c r="M80" s="19"/>
      <c r="N80" s="282"/>
      <c r="O80" s="268"/>
      <c r="P80" s="283"/>
      <c r="Q80" s="154"/>
      <c r="R80" s="154"/>
      <c r="S80" s="282"/>
      <c r="T80" s="268"/>
      <c r="U80" s="268"/>
      <c r="V80" s="283"/>
      <c r="W80" s="19"/>
      <c r="X80" s="19"/>
      <c r="Y80" s="19"/>
      <c r="Z80" s="19"/>
      <c r="AA80" s="19"/>
    </row>
    <row r="81" spans="1:27" ht="14">
      <c r="A81" s="19"/>
      <c r="B81" s="284"/>
      <c r="C81" s="285"/>
      <c r="D81" s="285"/>
      <c r="E81" s="285"/>
      <c r="F81" s="285"/>
      <c r="G81" s="286"/>
      <c r="H81" s="154"/>
      <c r="I81" s="156"/>
      <c r="J81" s="285"/>
      <c r="K81" s="285"/>
      <c r="L81" s="286"/>
      <c r="M81" s="19"/>
      <c r="N81" s="284"/>
      <c r="O81" s="285"/>
      <c r="P81" s="286"/>
      <c r="Q81" s="19"/>
      <c r="R81" s="19"/>
      <c r="S81" s="284"/>
      <c r="T81" s="285"/>
      <c r="U81" s="285"/>
      <c r="V81" s="286"/>
      <c r="W81" s="19"/>
      <c r="X81" s="19"/>
      <c r="Y81" s="19"/>
      <c r="Z81" s="19"/>
      <c r="AA81" s="19"/>
    </row>
    <row r="82" spans="1:27" ht="14">
      <c r="A82" s="19"/>
      <c r="B82" s="274" t="s">
        <v>1991</v>
      </c>
      <c r="C82" s="268"/>
      <c r="D82" s="19"/>
      <c r="E82" s="19"/>
      <c r="F82" s="19"/>
      <c r="G82" s="19"/>
      <c r="H82" s="19"/>
      <c r="I82" s="19"/>
      <c r="J82" s="274" t="s">
        <v>1992</v>
      </c>
      <c r="K82" s="268"/>
      <c r="L82" s="268"/>
      <c r="M82" s="19"/>
      <c r="N82" s="274" t="s">
        <v>1993</v>
      </c>
      <c r="O82" s="268"/>
      <c r="P82" s="268"/>
      <c r="Q82" s="19"/>
      <c r="R82" s="19"/>
      <c r="S82" s="274" t="s">
        <v>1994</v>
      </c>
      <c r="T82" s="268"/>
      <c r="U82" s="268"/>
      <c r="V82" s="268"/>
      <c r="W82" s="19"/>
      <c r="X82" s="19"/>
      <c r="Y82" s="19"/>
      <c r="Z82" s="19"/>
      <c r="AA82" s="19"/>
    </row>
    <row r="83" spans="1:27" ht="30">
      <c r="A83" s="19"/>
      <c r="B83" s="157" t="s">
        <v>1995</v>
      </c>
      <c r="C83" s="133" t="s">
        <v>1996</v>
      </c>
      <c r="D83" s="19"/>
      <c r="E83" s="19"/>
      <c r="F83" s="19"/>
      <c r="G83" s="19"/>
      <c r="H83" s="19"/>
      <c r="I83" s="19"/>
      <c r="J83" s="124" t="s">
        <v>1464</v>
      </c>
      <c r="K83" s="276" t="s">
        <v>1469</v>
      </c>
      <c r="L83" s="273"/>
      <c r="M83" s="19"/>
      <c r="N83" s="157" t="s">
        <v>1995</v>
      </c>
      <c r="O83" s="157" t="s">
        <v>1997</v>
      </c>
      <c r="P83" s="157" t="s">
        <v>1469</v>
      </c>
      <c r="Q83" s="19"/>
      <c r="R83" s="19"/>
      <c r="S83" s="158" t="s">
        <v>0</v>
      </c>
      <c r="T83" s="159" t="s">
        <v>205</v>
      </c>
      <c r="U83" s="159" t="s">
        <v>1464</v>
      </c>
      <c r="V83" s="159" t="s">
        <v>1998</v>
      </c>
      <c r="W83" s="19"/>
      <c r="X83" s="19"/>
      <c r="Y83" s="19"/>
      <c r="Z83" s="19"/>
      <c r="AA83" s="19"/>
    </row>
    <row r="84" spans="1:27" ht="30">
      <c r="A84" s="19"/>
      <c r="B84" s="160" t="s">
        <v>1999</v>
      </c>
      <c r="C84" s="5">
        <v>5</v>
      </c>
      <c r="D84" s="19"/>
      <c r="E84" s="19"/>
      <c r="F84" s="19"/>
      <c r="G84" s="19"/>
      <c r="H84" s="19"/>
      <c r="I84" s="19"/>
      <c r="J84" s="5" t="s">
        <v>2000</v>
      </c>
      <c r="K84" s="299" t="str">
        <f ca="1">IFERROR(__xludf.DUMMYFUNCTION("JOIN ("", "", FILTER(CleanedData!AG112:AG157, CleanedData!AH112:AH157=""new DSL""))"),"P1, P2, P6, P7, P8, P10, P11, P12, P13, P14, P15, P16, P19, P21, P23, P25, P26, P27, P28, P29, P30, P32, P34, P35, P36, P37, P38, P39, P40, P41, P42, P43, P44, P46")</f>
        <v>P1, P2, P6, P7, P8, P10, P11, P12, P13, P14, P15, P16, P19, P21, P23, P25, P26, P27, P28, P29, P30, P32, P34, P35, P36, P37, P38, P39, P40, P41, P42, P43, P44, P46</v>
      </c>
      <c r="L84" s="273"/>
      <c r="M84" s="19"/>
      <c r="N84" s="312" t="s">
        <v>2001</v>
      </c>
      <c r="O84" s="161" t="s">
        <v>1490</v>
      </c>
      <c r="P84" s="161" t="s">
        <v>17</v>
      </c>
      <c r="Q84" s="19"/>
      <c r="R84" s="19"/>
      <c r="S84" s="162" t="s">
        <v>8</v>
      </c>
      <c r="T84" s="163" t="s">
        <v>1471</v>
      </c>
      <c r="U84" s="163" t="s">
        <v>1472</v>
      </c>
      <c r="V84" s="163" t="s">
        <v>1473</v>
      </c>
      <c r="W84" s="19"/>
      <c r="X84" s="19"/>
      <c r="Y84" s="19"/>
      <c r="Z84" s="19"/>
      <c r="AA84" s="19"/>
    </row>
    <row r="85" spans="1:27" ht="30">
      <c r="A85" s="19"/>
      <c r="B85" s="164" t="s">
        <v>2002</v>
      </c>
      <c r="C85" s="5">
        <v>2</v>
      </c>
      <c r="D85" s="19"/>
      <c r="E85" s="19"/>
      <c r="F85" s="19"/>
      <c r="G85" s="19"/>
      <c r="H85" s="19"/>
      <c r="I85" s="19"/>
      <c r="J85" s="5" t="s">
        <v>2003</v>
      </c>
      <c r="K85" s="299" t="str">
        <f ca="1">IFERROR(__xludf.DUMMYFUNCTION("JOIN ("", "", FILTER(CleanedData!AG112:AG157, CleanedData!AH112:AH157=""extension of existing DSL""))"),"P5, P22, P33")</f>
        <v>P5, P22, P33</v>
      </c>
      <c r="L85" s="273"/>
      <c r="M85" s="19"/>
      <c r="N85" s="258"/>
      <c r="O85" s="161" t="s">
        <v>1483</v>
      </c>
      <c r="P85" s="161" t="s">
        <v>17</v>
      </c>
      <c r="Q85" s="19"/>
      <c r="R85" s="19"/>
      <c r="S85" s="162" t="s">
        <v>14</v>
      </c>
      <c r="T85" s="163" t="s">
        <v>1479</v>
      </c>
      <c r="U85" s="163" t="s">
        <v>1472</v>
      </c>
      <c r="V85" s="163" t="s">
        <v>1473</v>
      </c>
      <c r="W85" s="19"/>
      <c r="X85" s="19"/>
      <c r="Y85" s="19"/>
      <c r="Z85" s="19"/>
      <c r="AA85" s="19"/>
    </row>
    <row r="86" spans="1:27" ht="45">
      <c r="A86" s="19"/>
      <c r="B86" s="160" t="s">
        <v>2004</v>
      </c>
      <c r="C86" s="5">
        <v>3</v>
      </c>
      <c r="D86" s="19"/>
      <c r="E86" s="19"/>
      <c r="F86" s="19"/>
      <c r="G86" s="19"/>
      <c r="H86" s="19"/>
      <c r="I86" s="19"/>
      <c r="J86" s="165" t="s">
        <v>2005</v>
      </c>
      <c r="K86" s="316" t="str">
        <f ca="1">IFERROR(__xludf.DUMMYFUNCTION("JOIN ("", "", FILTER(CleanedData!AG112:AG157, CleanedData!AH112:AH157=""existing modeling language""))"),"P3, P4, P9, P17, P18, P20, P24, P31, P45")</f>
        <v>P3, P4, P9, P17, P18, P20, P24, P31, P45</v>
      </c>
      <c r="L86" s="317"/>
      <c r="M86" s="19"/>
      <c r="N86" s="258"/>
      <c r="O86" s="161" t="s">
        <v>1531</v>
      </c>
      <c r="P86" s="161" t="s">
        <v>60</v>
      </c>
      <c r="Q86" s="19"/>
      <c r="R86" s="19"/>
      <c r="S86" s="166" t="s">
        <v>17</v>
      </c>
      <c r="T86" s="167" t="s">
        <v>1483</v>
      </c>
      <c r="U86" s="167" t="s">
        <v>1484</v>
      </c>
      <c r="V86" s="136" t="s">
        <v>1476</v>
      </c>
      <c r="W86" s="19"/>
      <c r="X86" s="19"/>
      <c r="Y86" s="19"/>
      <c r="Z86" s="19"/>
      <c r="AA86" s="19"/>
    </row>
    <row r="87" spans="1:27" ht="45">
      <c r="A87" s="19"/>
      <c r="B87" s="160" t="s">
        <v>2006</v>
      </c>
      <c r="C87" s="5">
        <v>1</v>
      </c>
      <c r="D87" s="19"/>
      <c r="E87" s="19"/>
      <c r="F87" s="19"/>
      <c r="G87" s="19"/>
      <c r="H87" s="19"/>
      <c r="I87" s="19"/>
      <c r="J87" s="147"/>
      <c r="K87" s="318"/>
      <c r="L87" s="319"/>
      <c r="M87" s="19"/>
      <c r="N87" s="258"/>
      <c r="O87" s="168" t="s">
        <v>1574</v>
      </c>
      <c r="P87" s="161" t="s">
        <v>136</v>
      </c>
      <c r="Q87" s="19"/>
      <c r="R87" s="19"/>
      <c r="S87" s="162" t="s">
        <v>17</v>
      </c>
      <c r="T87" s="163" t="s">
        <v>1490</v>
      </c>
      <c r="U87" s="163" t="s">
        <v>1491</v>
      </c>
      <c r="V87" s="136" t="s">
        <v>1476</v>
      </c>
      <c r="W87" s="19"/>
      <c r="X87" s="19"/>
      <c r="Y87" s="19"/>
      <c r="Z87" s="19"/>
      <c r="AA87" s="19"/>
    </row>
    <row r="88" spans="1:27" ht="30">
      <c r="A88" s="19"/>
      <c r="B88" s="169" t="s">
        <v>2007</v>
      </c>
      <c r="C88" s="5">
        <v>1</v>
      </c>
      <c r="D88" s="19"/>
      <c r="E88" s="19"/>
      <c r="F88" s="19"/>
      <c r="G88" s="19"/>
      <c r="H88" s="19"/>
      <c r="I88" s="19"/>
      <c r="J88" s="19"/>
      <c r="K88" s="19"/>
      <c r="L88" s="19"/>
      <c r="M88" s="19"/>
      <c r="N88" s="258"/>
      <c r="O88" s="161" t="s">
        <v>1579</v>
      </c>
      <c r="P88" s="161" t="s">
        <v>144</v>
      </c>
      <c r="Q88" s="19"/>
      <c r="R88" s="19"/>
      <c r="S88" s="166" t="s">
        <v>21</v>
      </c>
      <c r="T88" s="170" t="s">
        <v>1495</v>
      </c>
      <c r="U88" s="167" t="s">
        <v>1496</v>
      </c>
      <c r="V88" s="167" t="s">
        <v>1493</v>
      </c>
      <c r="W88" s="19"/>
      <c r="X88" s="19"/>
      <c r="Y88" s="19"/>
      <c r="Z88" s="19"/>
      <c r="AA88" s="19"/>
    </row>
    <row r="89" spans="1:27" ht="45">
      <c r="A89" s="19"/>
      <c r="B89" s="160" t="s">
        <v>2008</v>
      </c>
      <c r="C89" s="5">
        <v>28</v>
      </c>
      <c r="D89" s="19"/>
      <c r="E89" s="19"/>
      <c r="F89" s="19"/>
      <c r="G89" s="19"/>
      <c r="H89" s="19"/>
      <c r="I89" s="19"/>
      <c r="J89" s="124" t="s">
        <v>1464</v>
      </c>
      <c r="K89" s="276" t="s">
        <v>1841</v>
      </c>
      <c r="L89" s="273"/>
      <c r="M89" s="19"/>
      <c r="N89" s="254"/>
      <c r="O89" s="161" t="s">
        <v>1588</v>
      </c>
      <c r="P89" s="161" t="s">
        <v>159</v>
      </c>
      <c r="Q89" s="19"/>
      <c r="R89" s="19"/>
      <c r="S89" s="162" t="s">
        <v>21</v>
      </c>
      <c r="T89" s="171" t="s">
        <v>1500</v>
      </c>
      <c r="U89" s="163" t="s">
        <v>1501</v>
      </c>
      <c r="V89" s="163" t="s">
        <v>1473</v>
      </c>
      <c r="W89" s="19"/>
      <c r="X89" s="19"/>
      <c r="Y89" s="19"/>
      <c r="Z89" s="19"/>
      <c r="AA89" s="19"/>
    </row>
    <row r="90" spans="1:27" ht="45">
      <c r="A90" s="19"/>
      <c r="B90" s="160" t="s">
        <v>476</v>
      </c>
      <c r="C90" s="5">
        <v>22</v>
      </c>
      <c r="D90" s="19"/>
      <c r="E90" s="19"/>
      <c r="F90" s="19"/>
      <c r="G90" s="19"/>
      <c r="H90" s="19"/>
      <c r="I90" s="19"/>
      <c r="J90" s="5" t="s">
        <v>2000</v>
      </c>
      <c r="K90" s="299">
        <f>COUNTIF(CleanedData!AH112:AH157,"new DSL")</f>
        <v>34</v>
      </c>
      <c r="L90" s="273"/>
      <c r="M90" s="19"/>
      <c r="N90" s="304" t="s">
        <v>2002</v>
      </c>
      <c r="O90" s="172" t="s">
        <v>1588</v>
      </c>
      <c r="P90" s="172" t="s">
        <v>159</v>
      </c>
      <c r="Q90" s="19"/>
      <c r="R90" s="19"/>
      <c r="S90" s="162" t="s">
        <v>26</v>
      </c>
      <c r="T90" s="163" t="s">
        <v>448</v>
      </c>
      <c r="U90" s="163" t="s">
        <v>1504</v>
      </c>
      <c r="V90" s="163" t="s">
        <v>1473</v>
      </c>
      <c r="W90" s="19"/>
      <c r="X90" s="19"/>
      <c r="Y90" s="19"/>
      <c r="Z90" s="19"/>
      <c r="AA90" s="19"/>
    </row>
    <row r="91" spans="1:27" ht="30">
      <c r="A91" s="19"/>
      <c r="B91" s="160" t="s">
        <v>2009</v>
      </c>
      <c r="C91" s="5">
        <v>7</v>
      </c>
      <c r="D91" s="19"/>
      <c r="E91" s="19"/>
      <c r="F91" s="19"/>
      <c r="G91" s="19"/>
      <c r="H91" s="19"/>
      <c r="I91" s="19"/>
      <c r="J91" s="5" t="s">
        <v>2010</v>
      </c>
      <c r="K91" s="299">
        <f>COUNTIF(CleanedData!AH112:AH157,"extension of existing DSL")</f>
        <v>3</v>
      </c>
      <c r="L91" s="273"/>
      <c r="M91" s="19"/>
      <c r="N91" s="258"/>
      <c r="O91" s="172" t="s">
        <v>1599</v>
      </c>
      <c r="P91" s="172" t="s">
        <v>184</v>
      </c>
      <c r="Q91" s="19"/>
      <c r="R91" s="19"/>
      <c r="S91" s="162" t="s">
        <v>29</v>
      </c>
      <c r="T91" s="163" t="s">
        <v>1510</v>
      </c>
      <c r="U91" s="163" t="s">
        <v>1472</v>
      </c>
      <c r="V91" s="163" t="s">
        <v>1506</v>
      </c>
      <c r="W91" s="19"/>
      <c r="X91" s="19"/>
      <c r="Y91" s="19"/>
      <c r="Z91" s="19"/>
      <c r="AA91" s="19"/>
    </row>
    <row r="92" spans="1:27" ht="15">
      <c r="A92" s="19"/>
      <c r="B92" s="160" t="s">
        <v>2011</v>
      </c>
      <c r="C92" s="5">
        <v>4</v>
      </c>
      <c r="D92" s="19"/>
      <c r="E92" s="19"/>
      <c r="F92" s="19"/>
      <c r="G92" s="19"/>
      <c r="H92" s="19"/>
      <c r="I92" s="19"/>
      <c r="J92" s="165" t="s">
        <v>2012</v>
      </c>
      <c r="K92" s="316">
        <f>COUNTIF(CleanedData!AH112:AH157,"existing modeling language")</f>
        <v>9</v>
      </c>
      <c r="L92" s="317"/>
      <c r="M92" s="19"/>
      <c r="N92" s="254"/>
      <c r="O92" s="172" t="s">
        <v>1602</v>
      </c>
      <c r="P92" s="172" t="s">
        <v>184</v>
      </c>
      <c r="Q92" s="19"/>
      <c r="R92" s="19"/>
      <c r="S92" s="162" t="s">
        <v>32</v>
      </c>
      <c r="T92" s="163" t="s">
        <v>1512</v>
      </c>
      <c r="U92" s="163" t="s">
        <v>1472</v>
      </c>
      <c r="V92" s="163" t="s">
        <v>1473</v>
      </c>
      <c r="W92" s="19"/>
      <c r="X92" s="19"/>
      <c r="Y92" s="19"/>
      <c r="Z92" s="19"/>
      <c r="AA92" s="19"/>
    </row>
    <row r="93" spans="1:27" ht="30">
      <c r="A93" s="19"/>
      <c r="B93" s="160" t="s">
        <v>2013</v>
      </c>
      <c r="C93" s="5">
        <v>10</v>
      </c>
      <c r="D93" s="19"/>
      <c r="E93" s="19"/>
      <c r="F93" s="19"/>
      <c r="G93" s="153"/>
      <c r="H93" s="19"/>
      <c r="I93" s="19"/>
      <c r="J93" s="147"/>
      <c r="K93" s="318"/>
      <c r="L93" s="319"/>
      <c r="M93" s="19"/>
      <c r="N93" s="308" t="s">
        <v>2014</v>
      </c>
      <c r="O93" s="173" t="s">
        <v>1479</v>
      </c>
      <c r="P93" s="173" t="s">
        <v>14</v>
      </c>
      <c r="Q93" s="19"/>
      <c r="R93" s="19"/>
      <c r="S93" s="162" t="s">
        <v>36</v>
      </c>
      <c r="T93" s="163" t="s">
        <v>448</v>
      </c>
      <c r="U93" s="163" t="s">
        <v>1472</v>
      </c>
      <c r="V93" s="163" t="s">
        <v>1515</v>
      </c>
      <c r="W93" s="19"/>
      <c r="X93" s="19"/>
      <c r="Y93" s="19"/>
      <c r="Z93" s="19"/>
      <c r="AA93" s="19"/>
    </row>
    <row r="94" spans="1:27" ht="30">
      <c r="A94" s="19"/>
      <c r="B94" s="160" t="s">
        <v>2015</v>
      </c>
      <c r="C94" s="5">
        <v>7</v>
      </c>
      <c r="D94" s="19"/>
      <c r="E94" s="19"/>
      <c r="F94" s="19"/>
      <c r="G94" s="19"/>
      <c r="H94" s="19"/>
      <c r="I94" s="19"/>
      <c r="J94" s="19"/>
      <c r="K94" s="19"/>
      <c r="L94" s="19"/>
      <c r="M94" s="19"/>
      <c r="N94" s="258"/>
      <c r="O94" s="173" t="s">
        <v>689</v>
      </c>
      <c r="P94" s="173" t="s">
        <v>56</v>
      </c>
      <c r="Q94" s="19"/>
      <c r="R94" s="19"/>
      <c r="S94" s="166" t="s">
        <v>39</v>
      </c>
      <c r="T94" s="167" t="s">
        <v>1518</v>
      </c>
      <c r="U94" s="170" t="s">
        <v>1519</v>
      </c>
      <c r="V94" s="167" t="s">
        <v>1473</v>
      </c>
      <c r="W94" s="19"/>
      <c r="X94" s="19"/>
      <c r="Y94" s="19"/>
      <c r="Z94" s="19"/>
      <c r="AA94" s="19"/>
    </row>
    <row r="95" spans="1:27" ht="15">
      <c r="A95" s="19"/>
      <c r="B95" s="160" t="s">
        <v>2016</v>
      </c>
      <c r="C95" s="5">
        <v>2</v>
      </c>
      <c r="D95" s="19"/>
      <c r="E95" s="19"/>
      <c r="F95" s="19"/>
      <c r="G95" s="19"/>
      <c r="H95" s="19"/>
      <c r="I95" s="19"/>
      <c r="J95" s="19"/>
      <c r="K95" s="19"/>
      <c r="L95" s="19"/>
      <c r="M95" s="19"/>
      <c r="N95" s="254"/>
      <c r="O95" s="173" t="s">
        <v>1531</v>
      </c>
      <c r="P95" s="173" t="s">
        <v>60</v>
      </c>
      <c r="Q95" s="19"/>
      <c r="R95" s="19"/>
      <c r="S95" s="166" t="s">
        <v>39</v>
      </c>
      <c r="T95" s="170" t="s">
        <v>1521</v>
      </c>
      <c r="U95" s="167" t="s">
        <v>1501</v>
      </c>
      <c r="V95" s="167" t="s">
        <v>1473</v>
      </c>
      <c r="W95" s="19"/>
      <c r="X95" s="19"/>
      <c r="Y95" s="19"/>
      <c r="Z95" s="19"/>
      <c r="AA95" s="19"/>
    </row>
    <row r="96" spans="1:27" ht="15">
      <c r="A96" s="19"/>
      <c r="B96" s="160" t="s">
        <v>2017</v>
      </c>
      <c r="C96" s="5">
        <v>6</v>
      </c>
      <c r="D96" s="19"/>
      <c r="E96" s="19"/>
      <c r="F96" s="19"/>
      <c r="G96" s="19"/>
      <c r="H96" s="19"/>
      <c r="I96" s="19"/>
      <c r="J96" s="19"/>
      <c r="K96" s="19"/>
      <c r="L96" s="19"/>
      <c r="M96" s="19"/>
      <c r="N96" s="174" t="s">
        <v>2006</v>
      </c>
      <c r="O96" s="175" t="s">
        <v>689</v>
      </c>
      <c r="P96" s="175" t="s">
        <v>56</v>
      </c>
      <c r="Q96" s="19"/>
      <c r="R96" s="19"/>
      <c r="S96" s="162" t="s">
        <v>39</v>
      </c>
      <c r="T96" s="171" t="s">
        <v>1522</v>
      </c>
      <c r="U96" s="163" t="s">
        <v>1501</v>
      </c>
      <c r="V96" s="163" t="s">
        <v>1473</v>
      </c>
      <c r="W96" s="19"/>
      <c r="X96" s="19"/>
      <c r="Y96" s="19"/>
      <c r="Z96" s="19"/>
      <c r="AA96" s="19"/>
    </row>
    <row r="97" spans="1:27" ht="30">
      <c r="A97" s="152"/>
      <c r="B97" s="160" t="s">
        <v>2018</v>
      </c>
      <c r="C97" s="5">
        <v>1</v>
      </c>
      <c r="D97" s="19"/>
      <c r="E97" s="19"/>
      <c r="F97" s="19"/>
      <c r="G97" s="19"/>
      <c r="H97" s="19"/>
      <c r="I97" s="19"/>
      <c r="J97" s="19"/>
      <c r="K97" s="19"/>
      <c r="L97" s="19"/>
      <c r="M97" s="19"/>
      <c r="N97" s="176" t="s">
        <v>2007</v>
      </c>
      <c r="O97" s="177" t="s">
        <v>1557</v>
      </c>
      <c r="P97" s="177" t="s">
        <v>106</v>
      </c>
      <c r="Q97" s="19"/>
      <c r="R97" s="19"/>
      <c r="S97" s="162" t="s">
        <v>43</v>
      </c>
      <c r="T97" s="163" t="s">
        <v>1523</v>
      </c>
      <c r="U97" s="163" t="s">
        <v>1472</v>
      </c>
      <c r="V97" s="163" t="s">
        <v>1502</v>
      </c>
      <c r="W97" s="19"/>
      <c r="X97" s="19"/>
      <c r="Y97" s="19"/>
      <c r="Z97" s="19"/>
      <c r="AA97" s="19"/>
    </row>
    <row r="98" spans="1:27" ht="30">
      <c r="A98" s="19"/>
      <c r="B98" s="160" t="s">
        <v>2019</v>
      </c>
      <c r="C98" s="5">
        <v>4</v>
      </c>
      <c r="D98" s="19"/>
      <c r="E98" s="19"/>
      <c r="F98" s="19"/>
      <c r="G98" s="19"/>
      <c r="H98" s="19"/>
      <c r="I98" s="19"/>
      <c r="J98" s="19"/>
      <c r="K98" s="19"/>
      <c r="L98" s="19"/>
      <c r="M98" s="19"/>
      <c r="N98" s="306" t="s">
        <v>2020</v>
      </c>
      <c r="O98" s="178" t="s">
        <v>1471</v>
      </c>
      <c r="P98" s="179" t="s">
        <v>8</v>
      </c>
      <c r="Q98" s="19"/>
      <c r="R98" s="19"/>
      <c r="S98" s="162" t="s">
        <v>49</v>
      </c>
      <c r="T98" s="163" t="s">
        <v>448</v>
      </c>
      <c r="U98" s="163" t="s">
        <v>1472</v>
      </c>
      <c r="V98" s="171" t="s">
        <v>1525</v>
      </c>
      <c r="W98" s="19"/>
      <c r="X98" s="19"/>
      <c r="Y98" s="19"/>
      <c r="Z98" s="19"/>
      <c r="AA98" s="19"/>
    </row>
    <row r="99" spans="1:27" ht="30">
      <c r="A99" s="19"/>
      <c r="B99" s="160" t="s">
        <v>1534</v>
      </c>
      <c r="C99" s="5">
        <v>3</v>
      </c>
      <c r="D99" s="19"/>
      <c r="E99" s="19"/>
      <c r="F99" s="19"/>
      <c r="G99" s="19"/>
      <c r="H99" s="19"/>
      <c r="I99" s="19"/>
      <c r="J99" s="19"/>
      <c r="K99" s="19"/>
      <c r="L99" s="19"/>
      <c r="M99" s="19"/>
      <c r="N99" s="258"/>
      <c r="O99" s="179" t="s">
        <v>448</v>
      </c>
      <c r="P99" s="179" t="s">
        <v>2021</v>
      </c>
      <c r="Q99" s="19"/>
      <c r="R99" s="19"/>
      <c r="S99" s="162" t="s">
        <v>53</v>
      </c>
      <c r="T99" s="163" t="s">
        <v>448</v>
      </c>
      <c r="U99" s="163" t="s">
        <v>1472</v>
      </c>
      <c r="V99" s="171" t="s">
        <v>1527</v>
      </c>
      <c r="W99" s="19"/>
      <c r="X99" s="19"/>
      <c r="Y99" s="19"/>
      <c r="Z99" s="19"/>
      <c r="AA99" s="19"/>
    </row>
    <row r="100" spans="1:27" ht="15">
      <c r="A100" s="19"/>
      <c r="D100" s="19"/>
      <c r="E100" s="19"/>
      <c r="F100" s="19"/>
      <c r="G100" s="19"/>
      <c r="H100" s="19"/>
      <c r="I100" s="19"/>
      <c r="J100" s="19"/>
      <c r="K100" s="19"/>
      <c r="L100" s="19"/>
      <c r="M100" s="19"/>
      <c r="N100" s="258"/>
      <c r="O100" s="180" t="s">
        <v>1512</v>
      </c>
      <c r="P100" s="179" t="s">
        <v>32</v>
      </c>
      <c r="Q100" s="19"/>
      <c r="R100" s="19"/>
      <c r="S100" s="162" t="s">
        <v>56</v>
      </c>
      <c r="T100" s="163" t="s">
        <v>689</v>
      </c>
      <c r="U100" s="163" t="s">
        <v>1472</v>
      </c>
      <c r="V100" s="163" t="s">
        <v>1529</v>
      </c>
      <c r="W100" s="19"/>
      <c r="X100" s="19"/>
      <c r="Y100" s="19"/>
      <c r="Z100" s="19"/>
      <c r="AA100" s="19"/>
    </row>
    <row r="101" spans="1:27" ht="30">
      <c r="A101" s="19"/>
      <c r="B101" s="19"/>
      <c r="C101" s="19"/>
      <c r="D101" s="19"/>
      <c r="E101" s="19"/>
      <c r="F101" s="19"/>
      <c r="G101" s="19"/>
      <c r="H101" s="19"/>
      <c r="I101" s="19"/>
      <c r="J101" s="19"/>
      <c r="K101" s="19"/>
      <c r="L101" s="19"/>
      <c r="M101" s="19"/>
      <c r="N101" s="258"/>
      <c r="O101" s="179" t="s">
        <v>1518</v>
      </c>
      <c r="P101" s="179" t="s">
        <v>2022</v>
      </c>
      <c r="Q101" s="19"/>
      <c r="R101" s="19"/>
      <c r="S101" s="162" t="s">
        <v>60</v>
      </c>
      <c r="T101" s="163" t="s">
        <v>1531</v>
      </c>
      <c r="U101" s="163" t="s">
        <v>1472</v>
      </c>
      <c r="V101" s="163" t="s">
        <v>1476</v>
      </c>
      <c r="W101" s="19"/>
      <c r="X101" s="19"/>
      <c r="Y101" s="19"/>
      <c r="Z101" s="19"/>
      <c r="AA101" s="19"/>
    </row>
    <row r="102" spans="1:27" ht="30">
      <c r="A102" s="19"/>
      <c r="B102" s="19"/>
      <c r="C102" s="19"/>
      <c r="D102" s="19"/>
      <c r="E102" s="19"/>
      <c r="F102" s="19"/>
      <c r="G102" s="19"/>
      <c r="H102" s="19"/>
      <c r="I102" s="19"/>
      <c r="J102" s="19"/>
      <c r="K102" s="19"/>
      <c r="L102" s="19"/>
      <c r="M102" s="19"/>
      <c r="N102" s="258"/>
      <c r="O102" s="179" t="s">
        <v>689</v>
      </c>
      <c r="P102" s="179" t="s">
        <v>56</v>
      </c>
      <c r="Q102" s="19"/>
      <c r="R102" s="19"/>
      <c r="S102" s="162" t="s">
        <v>65</v>
      </c>
      <c r="T102" s="163" t="s">
        <v>1533</v>
      </c>
      <c r="U102" s="163" t="s">
        <v>1472</v>
      </c>
      <c r="V102" s="163" t="s">
        <v>1473</v>
      </c>
      <c r="W102" s="19"/>
      <c r="X102" s="19"/>
      <c r="Y102" s="19"/>
      <c r="Z102" s="19"/>
      <c r="AA102" s="19"/>
    </row>
    <row r="103" spans="1:27" ht="30">
      <c r="A103" s="19"/>
      <c r="B103" s="19"/>
      <c r="C103" s="19"/>
      <c r="D103" s="19"/>
      <c r="E103" s="19"/>
      <c r="F103" s="19"/>
      <c r="G103" s="19"/>
      <c r="H103" s="19"/>
      <c r="I103" s="19"/>
      <c r="J103" s="19"/>
      <c r="K103" s="19"/>
      <c r="L103" s="19"/>
      <c r="M103" s="19"/>
      <c r="N103" s="258"/>
      <c r="O103" s="179" t="s">
        <v>1542</v>
      </c>
      <c r="P103" s="179" t="s">
        <v>79</v>
      </c>
      <c r="Q103" s="19"/>
      <c r="R103" s="19"/>
      <c r="S103" s="181" t="s">
        <v>69</v>
      </c>
      <c r="T103" s="171" t="s">
        <v>1535</v>
      </c>
      <c r="U103" s="171" t="s">
        <v>1472</v>
      </c>
      <c r="V103" s="163" t="s">
        <v>1473</v>
      </c>
      <c r="W103" s="19"/>
      <c r="X103" s="19"/>
      <c r="Y103" s="19"/>
      <c r="Z103" s="19"/>
      <c r="AA103" s="19"/>
    </row>
    <row r="104" spans="1:27" ht="15">
      <c r="A104" s="19"/>
      <c r="B104" s="19"/>
      <c r="C104" s="19"/>
      <c r="D104" s="19"/>
      <c r="E104" s="19"/>
      <c r="F104" s="19"/>
      <c r="G104" s="19"/>
      <c r="H104" s="19"/>
      <c r="I104" s="19"/>
      <c r="J104" s="19"/>
      <c r="K104" s="19"/>
      <c r="L104" s="19"/>
      <c r="M104" s="19"/>
      <c r="N104" s="258"/>
      <c r="O104" s="179" t="s">
        <v>1549</v>
      </c>
      <c r="P104" s="179" t="s">
        <v>95</v>
      </c>
      <c r="Q104" s="19"/>
      <c r="R104" s="19"/>
      <c r="S104" s="181" t="s">
        <v>72</v>
      </c>
      <c r="T104" s="171" t="s">
        <v>1538</v>
      </c>
      <c r="U104" s="171" t="s">
        <v>1501</v>
      </c>
      <c r="V104" s="163" t="s">
        <v>1473</v>
      </c>
      <c r="W104" s="19"/>
      <c r="X104" s="19"/>
      <c r="Y104" s="19"/>
      <c r="Z104" s="19"/>
      <c r="AA104" s="19"/>
    </row>
    <row r="105" spans="1:27" ht="31" thickBot="1">
      <c r="A105" s="19"/>
      <c r="B105" s="19"/>
      <c r="C105" s="19"/>
      <c r="D105" s="19"/>
      <c r="E105" s="19"/>
      <c r="F105" s="19"/>
      <c r="G105" s="19"/>
      <c r="H105" s="19"/>
      <c r="I105" s="19"/>
      <c r="J105" s="19"/>
      <c r="K105" s="19"/>
      <c r="L105" s="19"/>
      <c r="M105" s="19"/>
      <c r="N105" s="258"/>
      <c r="O105" s="179" t="s">
        <v>1551</v>
      </c>
      <c r="P105" s="179" t="s">
        <v>98</v>
      </c>
      <c r="Q105" s="19"/>
      <c r="R105" s="19"/>
      <c r="S105" s="162" t="s">
        <v>75</v>
      </c>
      <c r="T105" s="163" t="s">
        <v>1539</v>
      </c>
      <c r="U105" s="163" t="s">
        <v>1540</v>
      </c>
      <c r="V105" s="163" t="s">
        <v>1476</v>
      </c>
      <c r="W105" s="19"/>
      <c r="X105" s="19"/>
      <c r="Y105" s="19"/>
      <c r="Z105" s="19"/>
      <c r="AA105" s="19"/>
    </row>
    <row r="106" spans="1:27" ht="31" thickTop="1">
      <c r="A106" s="333" t="s">
        <v>194</v>
      </c>
      <c r="B106" s="337" t="s">
        <v>212</v>
      </c>
      <c r="C106" s="19"/>
      <c r="F106" s="19"/>
      <c r="G106" s="19"/>
      <c r="H106" s="19"/>
      <c r="I106" s="19"/>
      <c r="J106" s="313" t="s">
        <v>2023</v>
      </c>
      <c r="K106" s="280"/>
      <c r="L106" s="281"/>
      <c r="M106" s="19"/>
      <c r="N106" s="258"/>
      <c r="O106" s="179" t="s">
        <v>1555</v>
      </c>
      <c r="P106" s="179" t="s">
        <v>102</v>
      </c>
      <c r="Q106" s="19"/>
      <c r="R106" s="19"/>
      <c r="S106" s="162" t="s">
        <v>79</v>
      </c>
      <c r="T106" s="163" t="s">
        <v>1542</v>
      </c>
      <c r="U106" s="163" t="s">
        <v>1472</v>
      </c>
      <c r="V106" s="163" t="s">
        <v>1473</v>
      </c>
      <c r="W106" s="19"/>
      <c r="X106" s="19"/>
      <c r="Y106" s="19"/>
      <c r="Z106" s="19"/>
      <c r="AA106" s="19"/>
    </row>
    <row r="107" spans="1:27" ht="30">
      <c r="A107" s="334" t="s">
        <v>60</v>
      </c>
      <c r="B107" s="334" t="s">
        <v>712</v>
      </c>
      <c r="C107" s="19"/>
      <c r="F107" s="19"/>
      <c r="G107" s="19"/>
      <c r="H107" s="19"/>
      <c r="I107" s="19"/>
      <c r="J107" s="282"/>
      <c r="K107" s="268"/>
      <c r="L107" s="283"/>
      <c r="M107" s="19"/>
      <c r="N107" s="258"/>
      <c r="O107" s="179" t="s">
        <v>1558</v>
      </c>
      <c r="P107" s="179" t="s">
        <v>110</v>
      </c>
      <c r="Q107" s="19"/>
      <c r="R107" s="19"/>
      <c r="S107" s="162" t="s">
        <v>84</v>
      </c>
      <c r="T107" s="163" t="s">
        <v>1544</v>
      </c>
      <c r="U107" s="163" t="s">
        <v>1545</v>
      </c>
      <c r="V107" s="163" t="s">
        <v>1499</v>
      </c>
      <c r="W107" s="19"/>
      <c r="X107" s="19"/>
      <c r="Y107" s="19"/>
      <c r="Z107" s="19"/>
      <c r="AA107" s="19"/>
    </row>
    <row r="108" spans="1:27" ht="45">
      <c r="A108" s="334" t="s">
        <v>140</v>
      </c>
      <c r="B108" s="334" t="s">
        <v>1584</v>
      </c>
      <c r="C108" s="19"/>
      <c r="F108" s="19"/>
      <c r="G108" s="19"/>
      <c r="H108" s="19"/>
      <c r="I108" s="19"/>
      <c r="J108" s="284"/>
      <c r="K108" s="285"/>
      <c r="L108" s="286"/>
      <c r="M108" s="19"/>
      <c r="N108" s="258"/>
      <c r="O108" s="179" t="s">
        <v>999</v>
      </c>
      <c r="P108" s="179" t="s">
        <v>114</v>
      </c>
      <c r="Q108" s="19"/>
      <c r="R108" s="19"/>
      <c r="S108" s="162" t="s">
        <v>87</v>
      </c>
      <c r="T108" s="163" t="s">
        <v>1546</v>
      </c>
      <c r="U108" s="163" t="s">
        <v>1472</v>
      </c>
      <c r="V108" s="163" t="s">
        <v>847</v>
      </c>
      <c r="W108" s="19"/>
      <c r="X108" s="19"/>
      <c r="Y108" s="19"/>
      <c r="Z108" s="19"/>
      <c r="AA108" s="19"/>
    </row>
    <row r="109" spans="1:27" ht="30">
      <c r="A109" s="334" t="s">
        <v>39</v>
      </c>
      <c r="B109" s="334" t="s">
        <v>1520</v>
      </c>
      <c r="C109" s="19"/>
      <c r="F109" s="19"/>
      <c r="G109" s="19"/>
      <c r="H109" s="19"/>
      <c r="I109" s="19"/>
      <c r="J109" s="274" t="s">
        <v>2024</v>
      </c>
      <c r="K109" s="268"/>
      <c r="L109" s="268"/>
      <c r="M109" s="19"/>
      <c r="N109" s="258"/>
      <c r="O109" s="179" t="s">
        <v>1559</v>
      </c>
      <c r="P109" s="179" t="s">
        <v>119</v>
      </c>
      <c r="Q109" s="19"/>
      <c r="R109" s="19"/>
      <c r="S109" s="162" t="s">
        <v>91</v>
      </c>
      <c r="T109" s="163" t="s">
        <v>1518</v>
      </c>
      <c r="U109" s="163" t="s">
        <v>1547</v>
      </c>
      <c r="V109" s="163" t="s">
        <v>1529</v>
      </c>
      <c r="W109" s="19"/>
      <c r="X109" s="19"/>
      <c r="Y109" s="19"/>
      <c r="Z109" s="19"/>
      <c r="AA109" s="19"/>
    </row>
    <row r="110" spans="1:27" ht="30">
      <c r="A110" s="334" t="s">
        <v>72</v>
      </c>
      <c r="B110" s="334" t="s">
        <v>772</v>
      </c>
      <c r="C110" s="19"/>
      <c r="F110" s="19"/>
      <c r="G110" s="19"/>
      <c r="H110" s="19"/>
      <c r="I110" s="19"/>
      <c r="J110" s="52" t="s">
        <v>1468</v>
      </c>
      <c r="K110" s="314" t="s">
        <v>1469</v>
      </c>
      <c r="L110" s="273"/>
      <c r="M110" s="19"/>
      <c r="N110" s="258"/>
      <c r="O110" s="179" t="s">
        <v>1563</v>
      </c>
      <c r="P110" s="179" t="s">
        <v>124</v>
      </c>
      <c r="Q110" s="19"/>
      <c r="R110" s="19"/>
      <c r="S110" s="162" t="s">
        <v>95</v>
      </c>
      <c r="T110" s="163" t="s">
        <v>1549</v>
      </c>
      <c r="U110" s="163" t="s">
        <v>1472</v>
      </c>
      <c r="V110" s="163" t="s">
        <v>1473</v>
      </c>
      <c r="W110" s="19"/>
      <c r="X110" s="19"/>
      <c r="Y110" s="19"/>
      <c r="Z110" s="19"/>
      <c r="AA110" s="19"/>
    </row>
    <row r="111" spans="1:27" ht="30">
      <c r="A111" s="334" t="s">
        <v>87</v>
      </c>
      <c r="B111" s="334" t="s">
        <v>772</v>
      </c>
      <c r="C111" s="19"/>
      <c r="F111" s="19"/>
      <c r="G111" s="19"/>
      <c r="H111" s="19"/>
      <c r="I111" s="19"/>
      <c r="J111" s="57" t="s">
        <v>1476</v>
      </c>
      <c r="K111" s="315" t="str">
        <f ca="1">IFERROR(__xludf.DUMMYFUNCTION("JOIN ("", "", FILTER(CleanedData!AD112:AD169, CleanedData!AE112:AE169=""requirements model""))"),"P3, P14, P18, P33, P35, P39")</f>
        <v>P3, P14, P18, P33, P35, P39</v>
      </c>
      <c r="L111" s="273"/>
      <c r="M111" s="19"/>
      <c r="N111" s="258"/>
      <c r="O111" s="183" t="s">
        <v>1571</v>
      </c>
      <c r="P111" s="179" t="s">
        <v>136</v>
      </c>
      <c r="Q111" s="19"/>
      <c r="R111" s="19"/>
      <c r="S111" s="162" t="s">
        <v>98</v>
      </c>
      <c r="T111" s="163" t="s">
        <v>1551</v>
      </c>
      <c r="U111" s="163" t="s">
        <v>1552</v>
      </c>
      <c r="V111" s="163" t="s">
        <v>1473</v>
      </c>
      <c r="W111" s="19"/>
      <c r="X111" s="19"/>
      <c r="Y111" s="19"/>
      <c r="Z111" s="19"/>
      <c r="AA111" s="19"/>
    </row>
    <row r="112" spans="1:27" ht="45">
      <c r="A112" s="334" t="s">
        <v>114</v>
      </c>
      <c r="B112" s="334" t="s">
        <v>772</v>
      </c>
      <c r="C112" s="19"/>
      <c r="F112" s="19"/>
      <c r="G112" s="19" t="s">
        <v>2025</v>
      </c>
      <c r="H112" s="19"/>
      <c r="I112" s="19"/>
      <c r="J112" s="5" t="s">
        <v>1473</v>
      </c>
      <c r="K112" s="299" t="str">
        <f ca="1">IFERROR(__xludf.DUMMYFUNCTION("JOIN ("", "", FILTER(CleanedData!AD112:AD169, CleanedData!AE112:AE169=""design model""))"),"P1, P2, P4, P5, P7, P8, P9, P11, P12, P13, P15, P16, P19, P22, P23, P24, P25, P26, P27, P28, P29, P30, P31, P33, P34, P35, P36, P37, P38, P39, P40, P41, P42, P43, P44, P45, P46")</f>
        <v>P1, P2, P4, P5, P7, P8, P9, P11, P12, P13, P15, P16, P19, P22, P23, P24, P25, P26, P27, P28, P29, P30, P31, P33, P34, P35, P36, P37, P38, P39, P40, P41, P42, P43, P44, P45, P46</v>
      </c>
      <c r="L112" s="273"/>
      <c r="M112" s="19"/>
      <c r="N112" s="258"/>
      <c r="O112" s="179" t="s">
        <v>1579</v>
      </c>
      <c r="P112" s="179" t="s">
        <v>144</v>
      </c>
      <c r="Q112" s="19"/>
      <c r="R112" s="19"/>
      <c r="S112" s="162" t="s">
        <v>102</v>
      </c>
      <c r="T112" s="163" t="s">
        <v>1555</v>
      </c>
      <c r="U112" s="163" t="s">
        <v>1472</v>
      </c>
      <c r="V112" s="163" t="s">
        <v>2026</v>
      </c>
      <c r="W112" s="19"/>
      <c r="X112" s="19"/>
      <c r="Y112" s="19"/>
      <c r="Z112" s="19"/>
      <c r="AA112" s="19"/>
    </row>
    <row r="113" spans="1:27" ht="30">
      <c r="A113" s="334" t="s">
        <v>26</v>
      </c>
      <c r="B113" s="334" t="s">
        <v>452</v>
      </c>
      <c r="C113" s="19"/>
      <c r="F113" s="19"/>
      <c r="G113" s="19"/>
      <c r="H113" s="19"/>
      <c r="I113" s="19"/>
      <c r="J113" s="5" t="s">
        <v>1488</v>
      </c>
      <c r="K113" s="299" t="str">
        <f ca="1">IFERROR(__xludf.DUMMYFUNCTION("JOIN ("", "", FILTER(CleanedData!AD112:AD169, CleanedData!AE112:AE169=""process model""))"),"P32, P35")</f>
        <v>P32, P35</v>
      </c>
      <c r="L113" s="273"/>
      <c r="M113" s="19"/>
      <c r="N113" s="258"/>
      <c r="O113" s="183" t="s">
        <v>1581</v>
      </c>
      <c r="P113" s="179" t="s">
        <v>147</v>
      </c>
      <c r="Q113" s="19"/>
      <c r="R113" s="19"/>
      <c r="S113" s="162" t="s">
        <v>106</v>
      </c>
      <c r="T113" s="163" t="s">
        <v>1557</v>
      </c>
      <c r="U113" s="163" t="s">
        <v>1472</v>
      </c>
      <c r="V113" s="184" t="s">
        <v>1529</v>
      </c>
      <c r="W113" s="19"/>
      <c r="X113" s="19"/>
      <c r="Y113" s="19"/>
      <c r="Z113" s="19"/>
      <c r="AA113" s="19"/>
    </row>
    <row r="114" spans="1:27" ht="45">
      <c r="A114" s="334" t="s">
        <v>36</v>
      </c>
      <c r="B114" s="334" t="s">
        <v>452</v>
      </c>
      <c r="C114" s="19"/>
      <c r="F114" s="19"/>
      <c r="G114" s="19"/>
      <c r="H114" s="19"/>
      <c r="I114" s="19"/>
      <c r="J114" s="5" t="s">
        <v>1493</v>
      </c>
      <c r="K114" s="299" t="str">
        <f ca="1">IFERROR(__xludf.DUMMYFUNCTION("JOIN ("", "", FILTER(CleanedData!AD112:AD169, CleanedData!AE112:AE169=""feature model""))"),"P4")</f>
        <v>P4</v>
      </c>
      <c r="L114" s="273"/>
      <c r="M114" s="19"/>
      <c r="N114" s="258"/>
      <c r="O114" s="183" t="s">
        <v>1583</v>
      </c>
      <c r="P114" s="179" t="s">
        <v>151</v>
      </c>
      <c r="Q114" s="19"/>
      <c r="R114" s="19"/>
      <c r="S114" s="162" t="s">
        <v>110</v>
      </c>
      <c r="T114" s="163" t="s">
        <v>1558</v>
      </c>
      <c r="U114" s="163" t="s">
        <v>1472</v>
      </c>
      <c r="V114" s="163" t="s">
        <v>1529</v>
      </c>
      <c r="W114" s="19"/>
      <c r="X114" s="19"/>
      <c r="Y114" s="19"/>
      <c r="Z114" s="19"/>
      <c r="AA114" s="19"/>
    </row>
    <row r="115" spans="1:27" ht="30">
      <c r="A115" s="334" t="s">
        <v>49</v>
      </c>
      <c r="B115" s="334" t="s">
        <v>452</v>
      </c>
      <c r="C115" s="19"/>
      <c r="F115" s="19"/>
      <c r="G115" s="19"/>
      <c r="H115" s="19"/>
      <c r="I115" s="19"/>
      <c r="J115" s="5" t="s">
        <v>1499</v>
      </c>
      <c r="K115" s="299" t="str">
        <f ca="1">IFERROR(__xludf.DUMMYFUNCTION("JOIN ("", "", FILTER(CleanedData!AD112:AD169, CleanedData!AE112:AE169=""entity model""))"),"P20")</f>
        <v>P20</v>
      </c>
      <c r="L115" s="273"/>
      <c r="M115" s="19"/>
      <c r="N115" s="258"/>
      <c r="O115" s="179" t="s">
        <v>1585</v>
      </c>
      <c r="P115" s="179" t="s">
        <v>155</v>
      </c>
      <c r="Q115" s="19"/>
      <c r="R115" s="19"/>
      <c r="S115" s="162" t="s">
        <v>114</v>
      </c>
      <c r="T115" s="163" t="s">
        <v>999</v>
      </c>
      <c r="U115" s="163" t="s">
        <v>1472</v>
      </c>
      <c r="V115" s="163" t="s">
        <v>1473</v>
      </c>
      <c r="W115" s="19"/>
      <c r="X115" s="19"/>
      <c r="Y115" s="19"/>
      <c r="Z115" s="19"/>
      <c r="AA115" s="19"/>
    </row>
    <row r="116" spans="1:27" ht="45">
      <c r="A116" s="334" t="s">
        <v>168</v>
      </c>
      <c r="B116" s="334" t="s">
        <v>452</v>
      </c>
      <c r="C116" s="19"/>
      <c r="F116" s="19"/>
      <c r="G116" s="19"/>
      <c r="H116" s="19"/>
      <c r="I116" s="19"/>
      <c r="J116" s="5" t="s">
        <v>1502</v>
      </c>
      <c r="K116" s="299" t="str">
        <f ca="1">IFERROR(__xludf.DUMMYFUNCTION("JOIN ("", "", FILTER(CleanedData!AD112:AD169, CleanedData!AE112:AE169=""dataset model""))"),"P8, P10, P12, P38, P39")</f>
        <v>P8, P10, P12, P38, P39</v>
      </c>
      <c r="L116" s="273"/>
      <c r="M116" s="19"/>
      <c r="N116" s="258"/>
      <c r="O116" s="179" t="s">
        <v>1588</v>
      </c>
      <c r="P116" s="179" t="s">
        <v>159</v>
      </c>
      <c r="Q116" s="19"/>
      <c r="R116" s="19"/>
      <c r="S116" s="162" t="s">
        <v>119</v>
      </c>
      <c r="T116" s="163" t="s">
        <v>1559</v>
      </c>
      <c r="U116" s="163" t="s">
        <v>1472</v>
      </c>
      <c r="V116" s="163" t="s">
        <v>1473</v>
      </c>
      <c r="W116" s="19"/>
      <c r="X116" s="19"/>
      <c r="Y116" s="19"/>
      <c r="Z116" s="19"/>
      <c r="AA116" s="19"/>
    </row>
    <row r="117" spans="1:27" ht="30">
      <c r="A117" s="334" t="s">
        <v>168</v>
      </c>
      <c r="B117" s="334" t="s">
        <v>1385</v>
      </c>
      <c r="C117" s="19"/>
      <c r="F117" s="19"/>
      <c r="G117" s="19"/>
      <c r="H117" s="19"/>
      <c r="I117" s="19"/>
      <c r="J117" s="5" t="s">
        <v>1507</v>
      </c>
      <c r="K117" s="299" t="str">
        <f ca="1">IFERROR(__xludf.DUMMYFUNCTION("JOIN ("", "", FILTER(CleanedData!AD112:AD169, CleanedData!AE112:AE169=""artifact model""))"),"P11, P35")</f>
        <v>P11, P35</v>
      </c>
      <c r="L117" s="273"/>
      <c r="M117" s="19"/>
      <c r="N117" s="258"/>
      <c r="O117" s="179" t="s">
        <v>1264</v>
      </c>
      <c r="P117" s="179" t="s">
        <v>163</v>
      </c>
      <c r="Q117" s="19"/>
      <c r="R117" s="19"/>
      <c r="S117" s="162" t="s">
        <v>124</v>
      </c>
      <c r="T117" s="163" t="s">
        <v>1563</v>
      </c>
      <c r="U117" s="163" t="s">
        <v>1472</v>
      </c>
      <c r="V117" s="163" t="s">
        <v>1473</v>
      </c>
      <c r="W117" s="19"/>
      <c r="X117" s="19"/>
      <c r="Y117" s="19"/>
      <c r="Z117" s="19"/>
      <c r="AA117" s="19"/>
    </row>
    <row r="118" spans="1:27" ht="30">
      <c r="A118" s="334" t="s">
        <v>188</v>
      </c>
      <c r="B118" s="334" t="s">
        <v>1385</v>
      </c>
      <c r="C118" s="19"/>
      <c r="F118" s="19"/>
      <c r="G118" s="19"/>
      <c r="H118" s="19"/>
      <c r="I118" s="19"/>
      <c r="J118" s="136" t="s">
        <v>847</v>
      </c>
      <c r="K118" s="299" t="str">
        <f ca="1">IFERROR(__xludf.DUMMYFUNCTION("JOIN ("", "", FILTER(CleanedData!AD112:AD169, CleanedData!AE112:AE169=""probabilistic graphical model""))"),"P17, P21")</f>
        <v>P17, P21</v>
      </c>
      <c r="L118" s="273"/>
      <c r="M118" s="19"/>
      <c r="N118" s="258"/>
      <c r="O118" s="179" t="s">
        <v>1281</v>
      </c>
      <c r="P118" s="179" t="s">
        <v>168</v>
      </c>
      <c r="Q118" s="19"/>
      <c r="R118" s="19"/>
      <c r="S118" s="181" t="s">
        <v>129</v>
      </c>
      <c r="T118" s="171" t="s">
        <v>1565</v>
      </c>
      <c r="U118" s="171" t="s">
        <v>1566</v>
      </c>
      <c r="V118" s="163" t="s">
        <v>1473</v>
      </c>
      <c r="W118" s="19"/>
      <c r="X118" s="19"/>
      <c r="Y118" s="19"/>
      <c r="Z118" s="19"/>
      <c r="AA118" s="19"/>
    </row>
    <row r="119" spans="1:27" ht="15">
      <c r="A119" s="334" t="s">
        <v>155</v>
      </c>
      <c r="B119" s="334" t="s">
        <v>1596</v>
      </c>
      <c r="C119" s="19"/>
      <c r="F119" s="19"/>
      <c r="G119" s="19"/>
      <c r="H119" s="19"/>
      <c r="I119" s="19"/>
      <c r="J119" s="19"/>
      <c r="K119" s="19"/>
      <c r="L119" s="19"/>
      <c r="M119" s="19"/>
      <c r="N119" s="258"/>
      <c r="O119" s="179" t="s">
        <v>1299</v>
      </c>
      <c r="P119" s="179" t="s">
        <v>172</v>
      </c>
      <c r="Q119" s="19"/>
      <c r="R119" s="19"/>
      <c r="S119" s="162" t="s">
        <v>132</v>
      </c>
      <c r="T119" s="163" t="s">
        <v>1569</v>
      </c>
      <c r="U119" s="163" t="s">
        <v>1472</v>
      </c>
      <c r="V119" s="163" t="s">
        <v>1488</v>
      </c>
      <c r="W119" s="19"/>
      <c r="X119" s="19"/>
      <c r="Y119" s="19"/>
      <c r="Z119" s="19"/>
      <c r="AA119" s="19"/>
    </row>
    <row r="120" spans="1:27" ht="15">
      <c r="A120" s="334" t="s">
        <v>43</v>
      </c>
      <c r="B120" s="334" t="s">
        <v>627</v>
      </c>
      <c r="C120" s="19"/>
      <c r="F120" s="19"/>
      <c r="G120" s="19"/>
      <c r="H120" s="19"/>
      <c r="I120" s="19"/>
      <c r="J120" s="19"/>
      <c r="K120" s="19"/>
      <c r="L120" s="19"/>
      <c r="M120" s="19"/>
      <c r="N120" s="258"/>
      <c r="O120" s="179" t="s">
        <v>1336</v>
      </c>
      <c r="P120" s="179" t="s">
        <v>180</v>
      </c>
      <c r="Q120" s="19"/>
      <c r="R120" s="19"/>
      <c r="S120" s="166" t="s">
        <v>136</v>
      </c>
      <c r="T120" s="167" t="s">
        <v>1571</v>
      </c>
      <c r="U120" s="167" t="s">
        <v>1572</v>
      </c>
      <c r="V120" s="167" t="s">
        <v>1529</v>
      </c>
      <c r="W120" s="19"/>
      <c r="X120" s="19"/>
      <c r="Y120" s="19"/>
      <c r="Z120" s="19"/>
      <c r="AA120" s="19"/>
    </row>
    <row r="121" spans="1:27" ht="30">
      <c r="A121" s="334" t="s">
        <v>21</v>
      </c>
      <c r="B121" s="334" t="s">
        <v>427</v>
      </c>
      <c r="C121" s="19"/>
      <c r="F121" s="19"/>
      <c r="G121" s="19"/>
      <c r="H121" s="19"/>
      <c r="I121" s="19"/>
      <c r="K121" s="19"/>
      <c r="L121" s="19"/>
      <c r="M121" s="19"/>
      <c r="N121" s="258"/>
      <c r="O121" s="179" t="s">
        <v>1599</v>
      </c>
      <c r="P121" s="179" t="s">
        <v>184</v>
      </c>
      <c r="Q121" s="19"/>
      <c r="R121" s="19"/>
      <c r="S121" s="162" t="s">
        <v>136</v>
      </c>
      <c r="T121" s="163" t="s">
        <v>1574</v>
      </c>
      <c r="U121" s="171" t="s">
        <v>1472</v>
      </c>
      <c r="V121" s="171" t="s">
        <v>1476</v>
      </c>
      <c r="W121" s="19"/>
      <c r="X121" s="19"/>
      <c r="Y121" s="19"/>
      <c r="Z121" s="19"/>
      <c r="AA121" s="19"/>
    </row>
    <row r="122" spans="1:27" ht="30">
      <c r="A122" s="334" t="s">
        <v>32</v>
      </c>
      <c r="B122" s="334" t="s">
        <v>427</v>
      </c>
      <c r="C122" s="19"/>
      <c r="F122" s="19"/>
      <c r="G122" s="19"/>
      <c r="H122" s="19"/>
      <c r="I122" s="19"/>
      <c r="J122" s="19"/>
      <c r="K122" s="19"/>
      <c r="L122" s="19"/>
      <c r="M122" s="19"/>
      <c r="N122" s="258"/>
      <c r="O122" s="183" t="s">
        <v>1602</v>
      </c>
      <c r="P122" s="179" t="s">
        <v>184</v>
      </c>
      <c r="Q122" s="19"/>
      <c r="R122" s="19"/>
      <c r="S122" s="162" t="s">
        <v>140</v>
      </c>
      <c r="T122" s="163" t="s">
        <v>1577</v>
      </c>
      <c r="U122" s="163" t="s">
        <v>1472</v>
      </c>
      <c r="V122" s="163" t="s">
        <v>1473</v>
      </c>
      <c r="W122" s="19"/>
      <c r="X122" s="19"/>
      <c r="Y122" s="19"/>
      <c r="Z122" s="19"/>
      <c r="AA122" s="19"/>
    </row>
    <row r="123" spans="1:27" ht="90">
      <c r="A123" s="334" t="s">
        <v>69</v>
      </c>
      <c r="B123" s="334" t="s">
        <v>427</v>
      </c>
      <c r="C123" s="19"/>
      <c r="F123" s="19"/>
      <c r="G123" s="19"/>
      <c r="H123" s="19"/>
      <c r="I123" s="19"/>
      <c r="J123" s="19"/>
      <c r="K123" s="19"/>
      <c r="L123" s="19"/>
      <c r="M123" s="19"/>
      <c r="N123" s="307" t="s">
        <v>2027</v>
      </c>
      <c r="O123" s="185" t="s">
        <v>1490</v>
      </c>
      <c r="P123" s="186" t="s">
        <v>17</v>
      </c>
      <c r="Q123" s="19"/>
      <c r="R123" s="19"/>
      <c r="S123" s="162" t="s">
        <v>144</v>
      </c>
      <c r="T123" s="163" t="s">
        <v>1579</v>
      </c>
      <c r="U123" s="163" t="s">
        <v>1472</v>
      </c>
      <c r="V123" s="163" t="s">
        <v>2028</v>
      </c>
      <c r="W123" s="19"/>
      <c r="X123" s="19"/>
      <c r="Y123" s="19"/>
      <c r="Z123" s="19"/>
      <c r="AA123" s="19"/>
    </row>
    <row r="124" spans="1:27" ht="15">
      <c r="A124" s="334" t="s">
        <v>84</v>
      </c>
      <c r="B124" s="334" t="s">
        <v>427</v>
      </c>
      <c r="C124" s="19"/>
      <c r="F124" s="19"/>
      <c r="G124" s="19"/>
      <c r="H124" s="19"/>
      <c r="I124" s="19"/>
      <c r="J124" s="19"/>
      <c r="K124" s="19"/>
      <c r="L124" s="19"/>
      <c r="M124" s="19"/>
      <c r="N124" s="258"/>
      <c r="O124" s="185" t="s">
        <v>1483</v>
      </c>
      <c r="P124" s="186" t="s">
        <v>17</v>
      </c>
      <c r="Q124" s="19"/>
      <c r="R124" s="19"/>
      <c r="S124" s="162"/>
      <c r="T124" s="163"/>
      <c r="U124" s="163"/>
      <c r="V124" s="163"/>
      <c r="W124" s="19"/>
      <c r="X124" s="19"/>
      <c r="Y124" s="19"/>
      <c r="Z124" s="19"/>
      <c r="AA124" s="19"/>
    </row>
    <row r="125" spans="1:27" ht="30">
      <c r="A125" s="334" t="s">
        <v>91</v>
      </c>
      <c r="B125" s="334" t="s">
        <v>427</v>
      </c>
      <c r="C125" s="19"/>
      <c r="F125" s="19"/>
      <c r="G125" s="19"/>
      <c r="H125" s="19"/>
      <c r="I125" s="19"/>
      <c r="J125" s="19"/>
      <c r="K125" s="19"/>
      <c r="L125" s="19"/>
      <c r="M125" s="19"/>
      <c r="N125" s="258"/>
      <c r="O125" s="185" t="s">
        <v>1510</v>
      </c>
      <c r="P125" s="186" t="s">
        <v>29</v>
      </c>
      <c r="Q125" s="19"/>
      <c r="R125" s="19"/>
      <c r="S125" s="162" t="s">
        <v>147</v>
      </c>
      <c r="T125" s="163" t="s">
        <v>1581</v>
      </c>
      <c r="U125" s="163" t="s">
        <v>1472</v>
      </c>
      <c r="V125" s="163" t="s">
        <v>1473</v>
      </c>
      <c r="W125" s="19"/>
      <c r="X125" s="19"/>
      <c r="Y125" s="19"/>
      <c r="Z125" s="19"/>
      <c r="AA125" s="19"/>
    </row>
    <row r="126" spans="1:27" ht="30">
      <c r="A126" s="334" t="s">
        <v>95</v>
      </c>
      <c r="B126" s="334" t="s">
        <v>427</v>
      </c>
      <c r="C126" s="19"/>
      <c r="F126" s="19"/>
      <c r="G126" s="19"/>
      <c r="H126" s="19"/>
      <c r="I126" s="19"/>
      <c r="J126" s="19"/>
      <c r="K126" s="19"/>
      <c r="L126" s="19"/>
      <c r="M126" s="19"/>
      <c r="N126" s="258"/>
      <c r="O126" s="186" t="s">
        <v>1538</v>
      </c>
      <c r="P126" s="186" t="s">
        <v>72</v>
      </c>
      <c r="Q126" s="19"/>
      <c r="R126" s="19"/>
      <c r="S126" s="162" t="s">
        <v>151</v>
      </c>
      <c r="T126" s="163" t="s">
        <v>1583</v>
      </c>
      <c r="U126" s="163" t="s">
        <v>1472</v>
      </c>
      <c r="V126" s="163" t="s">
        <v>1473</v>
      </c>
      <c r="W126" s="19"/>
      <c r="X126" s="19"/>
      <c r="Y126" s="19"/>
      <c r="Z126" s="19"/>
      <c r="AA126" s="19"/>
    </row>
    <row r="127" spans="1:27" ht="30">
      <c r="A127" s="334" t="s">
        <v>110</v>
      </c>
      <c r="B127" s="334" t="s">
        <v>427</v>
      </c>
      <c r="C127" s="19"/>
      <c r="F127" s="19"/>
      <c r="G127" s="19"/>
      <c r="H127" s="19"/>
      <c r="I127" s="19"/>
      <c r="J127" s="19"/>
      <c r="K127" s="19"/>
      <c r="L127" s="19"/>
      <c r="M127" s="19"/>
      <c r="N127" s="258"/>
      <c r="O127" s="186" t="s">
        <v>1546</v>
      </c>
      <c r="P127" s="186" t="s">
        <v>87</v>
      </c>
      <c r="Q127" s="19"/>
      <c r="R127" s="19"/>
      <c r="S127" s="181" t="s">
        <v>155</v>
      </c>
      <c r="T127" s="171" t="s">
        <v>1585</v>
      </c>
      <c r="U127" s="171" t="s">
        <v>1472</v>
      </c>
      <c r="V127" s="163" t="s">
        <v>1586</v>
      </c>
      <c r="W127" s="19"/>
      <c r="X127" s="19"/>
      <c r="Y127" s="19"/>
      <c r="Z127" s="19"/>
      <c r="AA127" s="19"/>
    </row>
    <row r="128" spans="1:27" ht="60">
      <c r="A128" s="334" t="s">
        <v>114</v>
      </c>
      <c r="B128" s="334" t="s">
        <v>427</v>
      </c>
      <c r="C128" s="19"/>
      <c r="F128" s="19"/>
      <c r="G128" s="19"/>
      <c r="H128" s="19"/>
      <c r="I128" s="19"/>
      <c r="J128" s="19"/>
      <c r="K128" s="19"/>
      <c r="L128" s="19"/>
      <c r="M128" s="19"/>
      <c r="N128" s="258"/>
      <c r="O128" s="186" t="s">
        <v>1299</v>
      </c>
      <c r="P128" s="186" t="s">
        <v>172</v>
      </c>
      <c r="Q128" s="19"/>
      <c r="R128" s="19"/>
      <c r="S128" s="162" t="s">
        <v>159</v>
      </c>
      <c r="T128" s="163" t="s">
        <v>1588</v>
      </c>
      <c r="U128" s="163" t="s">
        <v>1472</v>
      </c>
      <c r="V128" s="171" t="s">
        <v>1589</v>
      </c>
      <c r="W128" s="19"/>
      <c r="X128" s="19"/>
      <c r="Y128" s="19"/>
      <c r="Z128" s="19"/>
      <c r="AA128" s="19"/>
    </row>
    <row r="129" spans="1:27" ht="15">
      <c r="A129" s="334" t="s">
        <v>172</v>
      </c>
      <c r="B129" s="334" t="s">
        <v>427</v>
      </c>
      <c r="C129" s="19"/>
      <c r="F129" s="19"/>
      <c r="G129" s="19"/>
      <c r="H129" s="19"/>
      <c r="I129" s="19"/>
      <c r="J129" s="19"/>
      <c r="K129" s="19"/>
      <c r="L129" s="19"/>
      <c r="M129" s="19"/>
      <c r="N129" s="258"/>
      <c r="O129" s="186" t="s">
        <v>1336</v>
      </c>
      <c r="P129" s="186" t="s">
        <v>180</v>
      </c>
      <c r="Q129" s="19"/>
      <c r="R129" s="19"/>
      <c r="S129" s="162" t="s">
        <v>163</v>
      </c>
      <c r="T129" s="163" t="s">
        <v>1264</v>
      </c>
      <c r="U129" s="163" t="s">
        <v>1591</v>
      </c>
      <c r="V129" s="163" t="s">
        <v>1473</v>
      </c>
      <c r="W129" s="19"/>
      <c r="X129" s="19"/>
      <c r="Y129" s="19"/>
      <c r="Z129" s="19"/>
      <c r="AA129" s="19"/>
    </row>
    <row r="130" spans="1:27" ht="15">
      <c r="A130" s="334" t="s">
        <v>184</v>
      </c>
      <c r="B130" s="334" t="s">
        <v>427</v>
      </c>
      <c r="C130" s="19"/>
      <c r="F130" s="19"/>
      <c r="G130" s="19"/>
      <c r="H130" s="19"/>
      <c r="I130" s="19"/>
      <c r="J130" s="19"/>
      <c r="K130" s="19"/>
      <c r="L130" s="19"/>
      <c r="M130" s="19"/>
      <c r="N130" s="254"/>
      <c r="O130" s="186" t="s">
        <v>1603</v>
      </c>
      <c r="P130" s="186" t="s">
        <v>188</v>
      </c>
      <c r="Q130" s="19"/>
      <c r="R130" s="19"/>
      <c r="S130" s="162" t="s">
        <v>168</v>
      </c>
      <c r="T130" s="163" t="s">
        <v>1281</v>
      </c>
      <c r="U130" s="163" t="s">
        <v>1592</v>
      </c>
      <c r="V130" s="163" t="s">
        <v>1473</v>
      </c>
      <c r="W130" s="19"/>
      <c r="X130" s="19"/>
      <c r="Y130" s="19"/>
      <c r="Z130" s="19"/>
      <c r="AA130" s="19"/>
    </row>
    <row r="131" spans="1:27" ht="30">
      <c r="A131" s="334" t="s">
        <v>106</v>
      </c>
      <c r="B131" s="334" t="s">
        <v>960</v>
      </c>
      <c r="C131" s="19"/>
      <c r="F131" s="19"/>
      <c r="G131" s="19"/>
      <c r="H131" s="19"/>
      <c r="I131" s="19"/>
      <c r="J131" s="19"/>
      <c r="K131" s="19"/>
      <c r="L131" s="19"/>
      <c r="M131" s="19"/>
      <c r="N131" s="309" t="s">
        <v>2029</v>
      </c>
      <c r="O131" s="187" t="s">
        <v>1471</v>
      </c>
      <c r="P131" s="188" t="s">
        <v>8</v>
      </c>
      <c r="Q131" s="19"/>
      <c r="R131" s="19"/>
      <c r="S131" s="162" t="s">
        <v>172</v>
      </c>
      <c r="T131" s="163" t="s">
        <v>1299</v>
      </c>
      <c r="U131" s="163" t="s">
        <v>1594</v>
      </c>
      <c r="V131" s="163" t="s">
        <v>1473</v>
      </c>
      <c r="W131" s="19"/>
      <c r="X131" s="19"/>
      <c r="Y131" s="19"/>
      <c r="Z131" s="19"/>
      <c r="AA131" s="19"/>
    </row>
    <row r="132" spans="1:27" ht="15">
      <c r="A132" s="334" t="s">
        <v>8</v>
      </c>
      <c r="B132" s="334" t="s">
        <v>1470</v>
      </c>
      <c r="C132" s="19"/>
      <c r="F132" s="19"/>
      <c r="G132" s="19"/>
      <c r="H132" s="19"/>
      <c r="I132" s="19"/>
      <c r="J132" s="279" t="s">
        <v>2030</v>
      </c>
      <c r="K132" s="280"/>
      <c r="L132" s="281"/>
      <c r="M132" s="19"/>
      <c r="N132" s="258"/>
      <c r="O132" s="188" t="s">
        <v>1479</v>
      </c>
      <c r="P132" s="188" t="s">
        <v>14</v>
      </c>
      <c r="Q132" s="19"/>
      <c r="R132" s="19"/>
      <c r="S132" s="162" t="s">
        <v>176</v>
      </c>
      <c r="T132" s="163" t="s">
        <v>1317</v>
      </c>
      <c r="U132" s="163" t="s">
        <v>1594</v>
      </c>
      <c r="V132" s="163" t="s">
        <v>1473</v>
      </c>
      <c r="W132" s="19"/>
      <c r="X132" s="19"/>
      <c r="Y132" s="19"/>
      <c r="Z132" s="19"/>
      <c r="AA132" s="19"/>
    </row>
    <row r="133" spans="1:27" ht="30">
      <c r="A133" s="334" t="s">
        <v>144</v>
      </c>
      <c r="B133" s="334" t="s">
        <v>1587</v>
      </c>
      <c r="C133" s="19"/>
      <c r="F133" s="19"/>
      <c r="G133" s="19"/>
      <c r="H133" s="19"/>
      <c r="I133" s="19"/>
      <c r="J133" s="282"/>
      <c r="K133" s="268"/>
      <c r="L133" s="283"/>
      <c r="M133" s="19"/>
      <c r="N133" s="258"/>
      <c r="O133" s="188" t="s">
        <v>448</v>
      </c>
      <c r="P133" s="188" t="s">
        <v>2021</v>
      </c>
      <c r="Q133" s="19"/>
      <c r="R133" s="19"/>
      <c r="S133" s="162" t="s">
        <v>180</v>
      </c>
      <c r="T133" s="163" t="s">
        <v>1336</v>
      </c>
      <c r="U133" s="163" t="s">
        <v>1597</v>
      </c>
      <c r="V133" s="163" t="s">
        <v>1473</v>
      </c>
      <c r="W133" s="19"/>
      <c r="X133" s="19"/>
      <c r="Y133" s="19"/>
      <c r="Z133" s="19"/>
      <c r="AA133" s="19"/>
    </row>
    <row r="134" spans="1:27" ht="30">
      <c r="A134" s="334" t="s">
        <v>124</v>
      </c>
      <c r="B134" s="334" t="s">
        <v>1576</v>
      </c>
      <c r="C134" s="19"/>
      <c r="F134" s="19"/>
      <c r="G134" s="19"/>
      <c r="H134" s="19"/>
      <c r="I134" s="19"/>
      <c r="J134" s="284"/>
      <c r="K134" s="285"/>
      <c r="L134" s="286"/>
      <c r="M134" s="19"/>
      <c r="N134" s="258"/>
      <c r="O134" s="189" t="s">
        <v>1512</v>
      </c>
      <c r="P134" s="188" t="s">
        <v>32</v>
      </c>
      <c r="Q134" s="19"/>
      <c r="R134" s="19"/>
      <c r="S134" s="166" t="s">
        <v>184</v>
      </c>
      <c r="T134" s="167" t="s">
        <v>1599</v>
      </c>
      <c r="U134" s="167" t="s">
        <v>1600</v>
      </c>
      <c r="V134" s="167" t="s">
        <v>1473</v>
      </c>
      <c r="W134" s="19"/>
      <c r="X134" s="19"/>
      <c r="Y134" s="19"/>
      <c r="Z134" s="19"/>
      <c r="AA134" s="19"/>
    </row>
    <row r="135" spans="1:27" ht="30">
      <c r="A135" s="334" t="s">
        <v>129</v>
      </c>
      <c r="B135" s="334" t="s">
        <v>1578</v>
      </c>
      <c r="C135" s="19"/>
      <c r="F135" s="19"/>
      <c r="G135" s="19"/>
      <c r="H135" s="19"/>
      <c r="I135" s="19"/>
      <c r="J135" s="274" t="s">
        <v>2031</v>
      </c>
      <c r="K135" s="268"/>
      <c r="L135" s="268"/>
      <c r="M135" s="19"/>
      <c r="N135" s="258"/>
      <c r="O135" s="188" t="s">
        <v>1518</v>
      </c>
      <c r="P135" s="188" t="s">
        <v>2022</v>
      </c>
      <c r="Q135" s="19"/>
      <c r="R135" s="19"/>
      <c r="S135" s="162" t="s">
        <v>184</v>
      </c>
      <c r="T135" s="163" t="s">
        <v>1602</v>
      </c>
      <c r="U135" s="163" t="s">
        <v>1600</v>
      </c>
      <c r="V135" s="163" t="s">
        <v>1473</v>
      </c>
      <c r="W135" s="19"/>
      <c r="X135" s="19"/>
      <c r="Y135" s="19"/>
      <c r="Z135" s="19"/>
      <c r="AA135" s="19"/>
    </row>
    <row r="136" spans="1:27" ht="15">
      <c r="A136" s="334" t="s">
        <v>32</v>
      </c>
      <c r="B136" s="334" t="s">
        <v>1509</v>
      </c>
      <c r="C136" s="19"/>
      <c r="F136" s="19"/>
      <c r="G136" s="19"/>
      <c r="H136" s="19"/>
      <c r="I136" s="19"/>
      <c r="J136" s="124" t="s">
        <v>2032</v>
      </c>
      <c r="K136" s="276" t="s">
        <v>1469</v>
      </c>
      <c r="L136" s="273"/>
      <c r="M136" s="19"/>
      <c r="N136" s="258"/>
      <c r="O136" s="187" t="s">
        <v>1539</v>
      </c>
      <c r="P136" s="188" t="s">
        <v>75</v>
      </c>
      <c r="Q136" s="19"/>
      <c r="R136" s="19"/>
      <c r="S136" s="162" t="s">
        <v>188</v>
      </c>
      <c r="T136" s="163" t="s">
        <v>1603</v>
      </c>
      <c r="U136" s="163" t="s">
        <v>1472</v>
      </c>
      <c r="V136" s="163" t="s">
        <v>1473</v>
      </c>
      <c r="W136" s="19"/>
      <c r="X136" s="19"/>
      <c r="Y136" s="19"/>
      <c r="Z136" s="19"/>
      <c r="AA136" s="19"/>
    </row>
    <row r="137" spans="1:27" ht="15">
      <c r="A137" s="334" t="s">
        <v>147</v>
      </c>
      <c r="B137" s="334" t="s">
        <v>1509</v>
      </c>
      <c r="C137" s="19"/>
      <c r="F137" s="19"/>
      <c r="G137" s="19"/>
      <c r="H137" s="19"/>
      <c r="I137" s="19"/>
      <c r="J137" s="124" t="s">
        <v>268</v>
      </c>
      <c r="K137" s="299" t="str">
        <f ca="1">IFERROR(__xludf.DUMMYFUNCTION("JOIN ("", "", FILTER(CleanedData!D173:D218, CleanedData!H173:H218=""yes""))"),"P1, P2, P3, P4, P7, P9, P10, P11, P12, P13, P14, P15, P19, P23, P24, P25, P27, P30, P31, P33, P34, P35, P36, P37, P38, P39, P40, P41, P42, P44, P45, P46")</f>
        <v>P1, P2, P3, P4, P7, P9, P10, P11, P12, P13, P14, P15, P19, P23, P24, P25, P27, P30, P31, P33, P34, P35, P36, P37, P38, P39, P40, P41, P42, P44, P45, P46</v>
      </c>
      <c r="L137" s="273"/>
      <c r="M137" s="19"/>
      <c r="N137" s="258"/>
      <c r="O137" s="188" t="s">
        <v>1555</v>
      </c>
      <c r="P137" s="188" t="s">
        <v>102</v>
      </c>
      <c r="Q137" s="19"/>
      <c r="R137" s="19"/>
      <c r="S137" s="19"/>
      <c r="T137" s="19"/>
      <c r="U137" s="19"/>
      <c r="V137" s="19"/>
      <c r="W137" s="19"/>
      <c r="X137" s="19"/>
      <c r="Y137" s="19"/>
      <c r="Z137" s="19"/>
      <c r="AA137" s="19"/>
    </row>
    <row r="138" spans="1:27" ht="30">
      <c r="A138" s="335" t="s">
        <v>184</v>
      </c>
      <c r="B138" s="335" t="s">
        <v>1509</v>
      </c>
      <c r="C138" s="19"/>
      <c r="F138" s="19"/>
      <c r="G138" s="19"/>
      <c r="H138" s="19"/>
      <c r="I138" s="19"/>
      <c r="J138" s="124" t="s">
        <v>2033</v>
      </c>
      <c r="K138" s="299" t="str">
        <f ca="1">IFERROR(__xludf.DUMMYFUNCTION("JOIN ("", "", FILTER(CleanedData!D173:D218, CleanedData!H173:H218=""cant say""))"),"P5, P6, P8, P16, P17, P18, P20, P21, P22, P26, P28, P29, P32, P43")</f>
        <v>P5, P6, P8, P16, P17, P18, P20, P21, P22, P26, P28, P29, P32, P43</v>
      </c>
      <c r="L138" s="273"/>
      <c r="M138" s="19"/>
      <c r="N138" s="258"/>
      <c r="O138" s="188" t="s">
        <v>1558</v>
      </c>
      <c r="P138" s="188" t="s">
        <v>110</v>
      </c>
      <c r="Q138" s="19"/>
      <c r="R138" s="19"/>
      <c r="S138" s="19"/>
      <c r="T138" s="19"/>
      <c r="U138" s="19"/>
      <c r="V138" s="19"/>
      <c r="W138" s="19"/>
      <c r="X138" s="19"/>
      <c r="Y138" s="19"/>
      <c r="Z138" s="19"/>
      <c r="AA138" s="19"/>
    </row>
    <row r="139" spans="1:27" ht="15">
      <c r="A139" s="334" t="s">
        <v>8</v>
      </c>
      <c r="B139" s="334" t="s">
        <v>293</v>
      </c>
      <c r="C139" s="19"/>
      <c r="F139" s="19"/>
      <c r="G139" s="19"/>
      <c r="H139" s="19"/>
      <c r="I139" s="19"/>
      <c r="J139" s="19"/>
      <c r="K139" s="19"/>
      <c r="L139" s="19"/>
      <c r="M139" s="19"/>
      <c r="N139" s="258"/>
      <c r="O139" s="188" t="s">
        <v>999</v>
      </c>
      <c r="P139" s="188" t="s">
        <v>114</v>
      </c>
      <c r="Q139" s="19"/>
      <c r="R139" s="19"/>
      <c r="S139" s="19"/>
      <c r="T139" s="19"/>
      <c r="U139" s="19"/>
      <c r="V139" s="19"/>
      <c r="W139" s="19"/>
      <c r="X139" s="19"/>
      <c r="Y139" s="19"/>
      <c r="Z139" s="19"/>
      <c r="AA139" s="19"/>
    </row>
    <row r="140" spans="1:27" ht="30">
      <c r="A140" s="334" t="s">
        <v>14</v>
      </c>
      <c r="B140" s="334" t="s">
        <v>293</v>
      </c>
      <c r="C140" s="19"/>
      <c r="F140" s="19"/>
      <c r="G140" s="19"/>
      <c r="H140" s="19"/>
      <c r="I140" s="19"/>
      <c r="K140" s="19"/>
      <c r="L140" s="19"/>
      <c r="M140" s="19"/>
      <c r="N140" s="258"/>
      <c r="O140" s="188" t="s">
        <v>1579</v>
      </c>
      <c r="P140" s="188" t="s">
        <v>144</v>
      </c>
      <c r="Q140" s="19"/>
      <c r="R140" s="19"/>
      <c r="S140" s="19"/>
      <c r="T140" s="19"/>
      <c r="U140" s="19"/>
      <c r="V140" s="19"/>
      <c r="W140" s="19"/>
      <c r="X140" s="19"/>
      <c r="Y140" s="19"/>
      <c r="Z140" s="19"/>
      <c r="AA140" s="19"/>
    </row>
    <row r="141" spans="1:27" ht="15">
      <c r="A141" s="334" t="s">
        <v>36</v>
      </c>
      <c r="B141" s="334" t="s">
        <v>293</v>
      </c>
      <c r="C141" s="19"/>
      <c r="F141" s="19"/>
      <c r="G141" s="19"/>
      <c r="H141" s="19"/>
      <c r="I141" s="19"/>
      <c r="J141" s="19"/>
      <c r="K141" s="19"/>
      <c r="L141" s="19"/>
      <c r="M141" s="19"/>
      <c r="N141" s="258"/>
      <c r="O141" s="187" t="s">
        <v>1581</v>
      </c>
      <c r="P141" s="188" t="s">
        <v>147</v>
      </c>
      <c r="Q141" s="19"/>
      <c r="R141" s="19"/>
      <c r="S141" s="19"/>
      <c r="T141" s="19"/>
      <c r="U141" s="19"/>
      <c r="V141" s="19"/>
      <c r="W141" s="19"/>
      <c r="X141" s="19"/>
      <c r="Y141" s="19"/>
      <c r="Z141" s="19"/>
      <c r="AA141" s="19"/>
    </row>
    <row r="142" spans="1:27" ht="15">
      <c r="A142" s="334" t="s">
        <v>39</v>
      </c>
      <c r="B142" s="334" t="s">
        <v>293</v>
      </c>
      <c r="C142" s="19"/>
      <c r="F142" s="19"/>
      <c r="G142" s="19"/>
      <c r="H142" s="19"/>
      <c r="I142" s="19"/>
      <c r="J142" s="19"/>
      <c r="K142" s="19"/>
      <c r="L142" s="19"/>
      <c r="M142" s="19"/>
      <c r="N142" s="258"/>
      <c r="O142" s="187" t="s">
        <v>1583</v>
      </c>
      <c r="P142" s="188" t="s">
        <v>151</v>
      </c>
      <c r="Q142" s="19"/>
      <c r="R142" s="19"/>
      <c r="S142" s="19"/>
      <c r="T142" s="19"/>
      <c r="U142" s="19"/>
      <c r="V142" s="19"/>
      <c r="W142" s="19"/>
      <c r="X142" s="19"/>
      <c r="Y142" s="19"/>
      <c r="Z142" s="19"/>
      <c r="AA142" s="19"/>
    </row>
    <row r="143" spans="1:27" ht="30">
      <c r="A143" s="334" t="s">
        <v>49</v>
      </c>
      <c r="B143" s="334" t="s">
        <v>293</v>
      </c>
      <c r="C143" s="19"/>
      <c r="F143" s="19"/>
      <c r="G143" s="19"/>
      <c r="H143" s="19"/>
      <c r="I143" s="19"/>
      <c r="J143" s="19"/>
      <c r="K143" s="19"/>
      <c r="L143" s="19"/>
      <c r="M143" s="19"/>
      <c r="N143" s="258"/>
      <c r="O143" s="188" t="s">
        <v>1585</v>
      </c>
      <c r="P143" s="188" t="s">
        <v>155</v>
      </c>
      <c r="Q143" s="19"/>
      <c r="R143" s="19"/>
      <c r="S143" s="19"/>
      <c r="T143" s="19"/>
      <c r="U143" s="19"/>
      <c r="V143" s="19"/>
      <c r="W143" s="19"/>
      <c r="X143" s="19"/>
      <c r="Y143" s="19"/>
      <c r="Z143" s="19"/>
      <c r="AA143" s="19"/>
    </row>
    <row r="144" spans="1:27" ht="45">
      <c r="A144" s="334" t="s">
        <v>53</v>
      </c>
      <c r="B144" s="334" t="s">
        <v>293</v>
      </c>
      <c r="C144" s="19"/>
      <c r="F144" s="19"/>
      <c r="G144" s="19"/>
      <c r="H144" s="19"/>
      <c r="I144" s="19"/>
      <c r="J144" s="19"/>
      <c r="K144" s="19"/>
      <c r="L144" s="19"/>
      <c r="M144" s="19"/>
      <c r="N144" s="258"/>
      <c r="O144" s="188" t="s">
        <v>1588</v>
      </c>
      <c r="P144" s="188" t="s">
        <v>159</v>
      </c>
      <c r="Q144" s="19"/>
      <c r="R144" s="19"/>
      <c r="S144" s="19"/>
      <c r="T144" s="19"/>
      <c r="U144" s="19"/>
      <c r="V144" s="19"/>
      <c r="W144" s="19"/>
      <c r="X144" s="19"/>
      <c r="Y144" s="19"/>
      <c r="Z144" s="19"/>
      <c r="AA144" s="19"/>
    </row>
    <row r="145" spans="1:27" ht="15">
      <c r="A145" s="334" t="s">
        <v>56</v>
      </c>
      <c r="B145" s="334" t="s">
        <v>293</v>
      </c>
      <c r="C145" s="19"/>
      <c r="F145" s="19"/>
      <c r="G145" s="19"/>
      <c r="H145" s="19"/>
      <c r="I145" s="19"/>
      <c r="J145" s="19"/>
      <c r="K145" s="19"/>
      <c r="L145" s="19"/>
      <c r="M145" s="19"/>
      <c r="N145" s="258"/>
      <c r="O145" s="188" t="s">
        <v>1299</v>
      </c>
      <c r="P145" s="188" t="s">
        <v>172</v>
      </c>
      <c r="Q145" s="19"/>
      <c r="R145" s="19"/>
      <c r="S145" s="19"/>
      <c r="T145" s="19"/>
      <c r="U145" s="19"/>
      <c r="V145" s="19"/>
      <c r="W145" s="19"/>
      <c r="X145" s="19"/>
      <c r="Y145" s="19"/>
      <c r="Z145" s="19"/>
      <c r="AA145" s="19"/>
    </row>
    <row r="146" spans="1:27" ht="15">
      <c r="A146" s="334" t="s">
        <v>79</v>
      </c>
      <c r="B146" s="334" t="s">
        <v>293</v>
      </c>
      <c r="C146" s="19"/>
      <c r="F146" s="19"/>
      <c r="G146" s="19"/>
      <c r="H146" s="19"/>
      <c r="I146" s="19"/>
      <c r="J146" s="19"/>
      <c r="K146" s="19"/>
      <c r="L146" s="19"/>
      <c r="M146" s="19"/>
      <c r="N146" s="258"/>
      <c r="O146" s="188" t="s">
        <v>1336</v>
      </c>
      <c r="P146" s="188" t="s">
        <v>180</v>
      </c>
      <c r="Q146" s="19"/>
      <c r="R146" s="19"/>
      <c r="S146" s="19"/>
      <c r="T146" s="19"/>
      <c r="U146" s="19"/>
      <c r="V146" s="19"/>
      <c r="W146" s="19"/>
      <c r="X146" s="19"/>
      <c r="Y146" s="19"/>
      <c r="Z146" s="19"/>
      <c r="AA146" s="19"/>
    </row>
    <row r="147" spans="1:27" ht="15">
      <c r="A147" s="334" t="s">
        <v>91</v>
      </c>
      <c r="B147" s="334" t="s">
        <v>293</v>
      </c>
      <c r="C147" s="19"/>
      <c r="F147" s="19"/>
      <c r="G147" s="19"/>
      <c r="H147" s="19"/>
      <c r="I147" s="19"/>
      <c r="J147" s="19"/>
      <c r="K147" s="19"/>
      <c r="L147" s="19"/>
      <c r="M147" s="19"/>
      <c r="N147" s="258"/>
      <c r="O147" s="188" t="s">
        <v>1599</v>
      </c>
      <c r="P147" s="188" t="s">
        <v>184</v>
      </c>
      <c r="Q147" s="19"/>
      <c r="R147" s="19"/>
      <c r="S147" s="19"/>
      <c r="T147" s="19"/>
      <c r="U147" s="19"/>
      <c r="V147" s="19"/>
      <c r="W147" s="19"/>
      <c r="X147" s="19"/>
      <c r="Y147" s="19"/>
      <c r="Z147" s="19"/>
      <c r="AA147" s="19"/>
    </row>
    <row r="148" spans="1:27" ht="15">
      <c r="A148" s="334" t="s">
        <v>98</v>
      </c>
      <c r="B148" s="334" t="s">
        <v>293</v>
      </c>
      <c r="C148" s="19"/>
      <c r="F148" s="19"/>
      <c r="G148" s="19"/>
      <c r="H148" s="19"/>
      <c r="I148" s="19"/>
      <c r="J148" s="19"/>
      <c r="K148" s="19"/>
      <c r="L148" s="19"/>
      <c r="M148" s="19"/>
      <c r="N148" s="258"/>
      <c r="O148" s="190" t="s">
        <v>1602</v>
      </c>
      <c r="P148" s="188" t="s">
        <v>184</v>
      </c>
      <c r="Q148" s="19"/>
      <c r="R148" s="19"/>
      <c r="S148" s="19"/>
      <c r="T148" s="19"/>
      <c r="U148" s="19"/>
      <c r="V148" s="19"/>
      <c r="W148" s="19"/>
      <c r="X148" s="19"/>
      <c r="Y148" s="19"/>
      <c r="Z148" s="19"/>
      <c r="AA148" s="19"/>
    </row>
    <row r="149" spans="1:27" ht="15">
      <c r="A149" s="334" t="s">
        <v>102</v>
      </c>
      <c r="B149" s="334" t="s">
        <v>293</v>
      </c>
      <c r="C149" s="19"/>
      <c r="F149" s="19"/>
      <c r="G149" s="19"/>
      <c r="H149" s="19"/>
      <c r="I149" s="19"/>
      <c r="J149" s="19"/>
      <c r="K149" s="19"/>
      <c r="L149" s="19"/>
      <c r="M149" s="19"/>
      <c r="N149" s="258"/>
      <c r="O149" s="188" t="s">
        <v>1603</v>
      </c>
      <c r="P149" s="188" t="s">
        <v>188</v>
      </c>
      <c r="Q149" s="19"/>
      <c r="R149" s="19"/>
      <c r="S149" s="19"/>
      <c r="T149" s="19"/>
      <c r="U149" s="19"/>
      <c r="V149" s="19"/>
      <c r="W149" s="19"/>
      <c r="X149" s="19"/>
      <c r="Y149" s="19"/>
      <c r="Z149" s="19"/>
      <c r="AA149" s="19"/>
    </row>
    <row r="150" spans="1:27" ht="30">
      <c r="A150" s="334" t="s">
        <v>132</v>
      </c>
      <c r="B150" s="334" t="s">
        <v>293</v>
      </c>
      <c r="C150" s="19"/>
      <c r="F150" s="19"/>
      <c r="G150" s="19"/>
      <c r="H150" s="19"/>
      <c r="I150" s="19"/>
      <c r="J150" s="19"/>
      <c r="K150" s="19"/>
      <c r="L150" s="19"/>
      <c r="M150" s="19"/>
      <c r="N150" s="310" t="s">
        <v>2034</v>
      </c>
      <c r="O150" s="191" t="s">
        <v>1471</v>
      </c>
      <c r="P150" s="192" t="s">
        <v>8</v>
      </c>
      <c r="Q150" s="19"/>
      <c r="R150" s="19"/>
      <c r="S150" s="19"/>
      <c r="T150" s="19"/>
      <c r="U150" s="19"/>
      <c r="V150" s="19"/>
      <c r="W150" s="19"/>
      <c r="X150" s="19"/>
      <c r="Y150" s="19"/>
      <c r="Z150" s="19"/>
      <c r="AA150" s="19"/>
    </row>
    <row r="151" spans="1:27" ht="30">
      <c r="A151" s="334" t="s">
        <v>144</v>
      </c>
      <c r="B151" s="334" t="s">
        <v>293</v>
      </c>
      <c r="C151" s="19"/>
      <c r="F151" s="19"/>
      <c r="G151" s="19"/>
      <c r="H151" s="19"/>
      <c r="I151" s="19"/>
      <c r="J151" s="19"/>
      <c r="K151" s="19"/>
      <c r="L151" s="19"/>
      <c r="M151" s="19"/>
      <c r="N151" s="258"/>
      <c r="O151" s="192" t="s">
        <v>1490</v>
      </c>
      <c r="P151" s="192" t="s">
        <v>17</v>
      </c>
      <c r="Q151" s="19"/>
      <c r="R151" s="19"/>
      <c r="S151" s="19"/>
      <c r="T151" s="19"/>
      <c r="U151" s="19"/>
      <c r="V151" s="19"/>
      <c r="W151" s="19"/>
      <c r="X151" s="19"/>
      <c r="Y151" s="19"/>
      <c r="Z151" s="19"/>
      <c r="AA151" s="19"/>
    </row>
    <row r="152" spans="1:27" ht="30">
      <c r="A152" s="334" t="s">
        <v>151</v>
      </c>
      <c r="B152" s="334" t="s">
        <v>293</v>
      </c>
      <c r="C152" s="19"/>
      <c r="F152" s="19"/>
      <c r="G152" s="19"/>
      <c r="H152" s="19"/>
      <c r="I152" s="19"/>
      <c r="J152" s="19"/>
      <c r="K152" s="19"/>
      <c r="L152" s="19"/>
      <c r="M152" s="19"/>
      <c r="N152" s="258"/>
      <c r="O152" s="192" t="s">
        <v>1483</v>
      </c>
      <c r="P152" s="192" t="s">
        <v>17</v>
      </c>
      <c r="Q152" s="19"/>
      <c r="R152" s="19"/>
      <c r="S152" s="19"/>
      <c r="T152" s="19"/>
      <c r="U152" s="19"/>
      <c r="V152" s="19"/>
      <c r="W152" s="19"/>
      <c r="X152" s="19"/>
      <c r="Y152" s="19"/>
      <c r="Z152" s="19"/>
      <c r="AA152" s="19"/>
    </row>
    <row r="153" spans="1:27" ht="15">
      <c r="A153" s="334" t="s">
        <v>159</v>
      </c>
      <c r="B153" s="334" t="s">
        <v>293</v>
      </c>
      <c r="C153" s="19"/>
      <c r="F153" s="19"/>
      <c r="G153" s="19"/>
      <c r="H153" s="19"/>
      <c r="I153" s="19"/>
      <c r="J153" s="19"/>
      <c r="K153" s="19"/>
      <c r="L153" s="19"/>
      <c r="M153" s="19"/>
      <c r="N153" s="258"/>
      <c r="O153" s="192" t="s">
        <v>689</v>
      </c>
      <c r="P153" s="192" t="s">
        <v>56</v>
      </c>
      <c r="Q153" s="19"/>
      <c r="R153" s="19"/>
      <c r="S153" s="19"/>
      <c r="T153" s="19"/>
      <c r="U153" s="19"/>
      <c r="V153" s="19"/>
      <c r="W153" s="19"/>
      <c r="X153" s="19"/>
      <c r="Y153" s="19"/>
      <c r="Z153" s="19"/>
      <c r="AA153" s="19"/>
    </row>
    <row r="154" spans="1:27" ht="15">
      <c r="A154" s="334" t="s">
        <v>168</v>
      </c>
      <c r="B154" s="334" t="s">
        <v>1605</v>
      </c>
      <c r="C154" s="19"/>
      <c r="F154" s="19"/>
      <c r="G154" s="19"/>
      <c r="H154" s="19"/>
      <c r="I154" s="19"/>
      <c r="J154" s="19"/>
      <c r="K154" s="19"/>
      <c r="L154" s="19"/>
      <c r="M154" s="19"/>
      <c r="N154" s="258"/>
      <c r="O154" s="192" t="s">
        <v>1555</v>
      </c>
      <c r="P154" s="192" t="s">
        <v>102</v>
      </c>
      <c r="Q154" s="19"/>
      <c r="R154" s="19"/>
      <c r="S154" s="19"/>
      <c r="T154" s="19"/>
      <c r="U154" s="19"/>
      <c r="V154" s="19"/>
      <c r="W154" s="19"/>
      <c r="X154" s="19"/>
      <c r="Y154" s="19"/>
      <c r="Z154" s="19"/>
      <c r="AA154" s="19"/>
    </row>
    <row r="155" spans="1:27" ht="30">
      <c r="A155" s="334" t="s">
        <v>176</v>
      </c>
      <c r="B155" s="334" t="s">
        <v>1605</v>
      </c>
      <c r="C155" s="19"/>
      <c r="F155" s="19"/>
      <c r="G155" s="19"/>
      <c r="H155" s="19"/>
      <c r="I155" s="19"/>
      <c r="J155" s="19"/>
      <c r="K155" s="19"/>
      <c r="L155" s="19"/>
      <c r="M155" s="19"/>
      <c r="N155" s="258"/>
      <c r="O155" s="192" t="s">
        <v>1558</v>
      </c>
      <c r="P155" s="192" t="s">
        <v>110</v>
      </c>
      <c r="Q155" s="19"/>
      <c r="R155" s="19"/>
      <c r="S155" s="19"/>
      <c r="T155" s="19"/>
      <c r="U155" s="19"/>
      <c r="V155" s="19"/>
      <c r="W155" s="19"/>
      <c r="X155" s="19"/>
      <c r="Y155" s="19"/>
      <c r="Z155" s="19"/>
      <c r="AA155" s="19"/>
    </row>
    <row r="156" spans="1:27" ht="45">
      <c r="A156" s="334" t="s">
        <v>95</v>
      </c>
      <c r="B156" s="336" t="s">
        <v>1554</v>
      </c>
      <c r="C156" s="19"/>
      <c r="F156" s="19"/>
      <c r="G156" s="19"/>
      <c r="H156" s="19"/>
      <c r="I156" s="19"/>
      <c r="J156" s="19"/>
      <c r="K156" s="19"/>
      <c r="L156" s="19"/>
      <c r="M156" s="19"/>
      <c r="N156" s="258"/>
      <c r="O156" s="192" t="s">
        <v>1588</v>
      </c>
      <c r="P156" s="192" t="s">
        <v>159</v>
      </c>
      <c r="Q156" s="19"/>
      <c r="R156" s="19"/>
      <c r="S156" s="19"/>
      <c r="T156" s="19"/>
      <c r="U156" s="19"/>
      <c r="V156" s="19"/>
      <c r="W156" s="19"/>
      <c r="X156" s="19"/>
      <c r="Y156" s="19"/>
      <c r="Z156" s="19"/>
      <c r="AA156" s="19"/>
    </row>
    <row r="157" spans="1:27" ht="15">
      <c r="A157" s="334" t="s">
        <v>65</v>
      </c>
      <c r="B157" s="335" t="s">
        <v>2035</v>
      </c>
      <c r="C157" s="19"/>
      <c r="D157" s="19"/>
      <c r="E157" s="19"/>
      <c r="F157" s="19"/>
      <c r="G157" s="19"/>
      <c r="H157" s="19"/>
      <c r="I157" s="19"/>
      <c r="J157" s="19"/>
      <c r="K157" s="19"/>
      <c r="L157" s="19"/>
      <c r="M157" s="19"/>
      <c r="N157" s="311" t="s">
        <v>2011</v>
      </c>
      <c r="O157" s="193" t="s">
        <v>1544</v>
      </c>
      <c r="P157" s="193" t="s">
        <v>84</v>
      </c>
      <c r="Q157" s="19"/>
      <c r="R157" s="19"/>
      <c r="S157" s="19"/>
      <c r="T157" s="19"/>
      <c r="U157" s="19"/>
      <c r="V157" s="19"/>
      <c r="W157" s="19"/>
      <c r="X157" s="19"/>
      <c r="Y157" s="19"/>
      <c r="Z157" s="19"/>
      <c r="AA157" s="19"/>
    </row>
    <row r="158" spans="1:27" ht="15">
      <c r="A158" s="334" t="s">
        <v>180</v>
      </c>
      <c r="B158" s="334" t="s">
        <v>1606</v>
      </c>
      <c r="C158" s="19"/>
      <c r="D158" s="19"/>
      <c r="E158" s="19"/>
      <c r="F158" s="19"/>
      <c r="G158" s="19"/>
      <c r="H158" s="19"/>
      <c r="I158" s="19"/>
      <c r="J158" s="19"/>
      <c r="K158" s="19"/>
      <c r="L158" s="19"/>
      <c r="M158" s="19"/>
      <c r="N158" s="258"/>
      <c r="O158" s="193" t="s">
        <v>1549</v>
      </c>
      <c r="P158" s="193" t="s">
        <v>95</v>
      </c>
      <c r="Q158" s="19"/>
      <c r="R158" s="19"/>
      <c r="S158" s="19"/>
      <c r="T158" s="19"/>
      <c r="U158" s="19"/>
      <c r="V158" s="19"/>
      <c r="W158" s="19"/>
      <c r="X158" s="19"/>
      <c r="Y158" s="19"/>
      <c r="Z158" s="19"/>
      <c r="AA158" s="19"/>
    </row>
    <row r="159" spans="1:27" ht="15">
      <c r="A159" s="334" t="s">
        <v>110</v>
      </c>
      <c r="B159" s="334" t="s">
        <v>1561</v>
      </c>
      <c r="C159" s="19"/>
      <c r="D159" s="19"/>
      <c r="E159" s="19"/>
      <c r="F159" s="19"/>
      <c r="G159" s="19"/>
      <c r="H159" s="19"/>
      <c r="I159" s="19"/>
      <c r="J159" s="19"/>
      <c r="K159" s="19"/>
      <c r="L159" s="19"/>
      <c r="M159" s="19"/>
      <c r="N159" s="258"/>
      <c r="O159" s="193" t="s">
        <v>1565</v>
      </c>
      <c r="P159" s="193" t="s">
        <v>129</v>
      </c>
      <c r="Q159" s="19"/>
      <c r="R159" s="19"/>
      <c r="S159" s="19"/>
      <c r="T159" s="19"/>
      <c r="U159" s="19"/>
      <c r="V159" s="19"/>
      <c r="W159" s="19"/>
      <c r="X159" s="19"/>
      <c r="Y159" s="19"/>
      <c r="Z159" s="19"/>
      <c r="AA159" s="19"/>
    </row>
    <row r="160" spans="1:27" ht="15">
      <c r="A160" s="334" t="s">
        <v>29</v>
      </c>
      <c r="B160" s="334" t="s">
        <v>496</v>
      </c>
      <c r="C160" s="19"/>
      <c r="D160" s="19"/>
      <c r="E160" s="19"/>
      <c r="F160" s="19"/>
      <c r="G160" s="19"/>
      <c r="H160" s="19"/>
      <c r="I160" s="19"/>
      <c r="J160" s="19"/>
      <c r="K160" s="19"/>
      <c r="L160" s="19"/>
      <c r="M160" s="19"/>
      <c r="N160" s="258"/>
      <c r="O160" s="194" t="s">
        <v>1571</v>
      </c>
      <c r="P160" s="193" t="s">
        <v>136</v>
      </c>
      <c r="Q160" s="19"/>
      <c r="R160" s="19"/>
      <c r="S160" s="19"/>
      <c r="T160" s="19"/>
      <c r="U160" s="19"/>
      <c r="V160" s="19"/>
      <c r="W160" s="19"/>
      <c r="X160" s="19"/>
      <c r="Y160" s="19"/>
      <c r="Z160" s="19"/>
      <c r="AA160" s="19"/>
    </row>
    <row r="161" spans="1:27" ht="15">
      <c r="A161" s="334" t="s">
        <v>151</v>
      </c>
      <c r="B161" s="334" t="s">
        <v>496</v>
      </c>
      <c r="C161" s="19"/>
      <c r="D161" s="19"/>
      <c r="E161" s="19"/>
      <c r="F161" s="19"/>
      <c r="G161" s="19"/>
      <c r="H161" s="19"/>
      <c r="I161" s="19"/>
      <c r="J161" s="19"/>
      <c r="K161" s="19"/>
      <c r="L161" s="19"/>
      <c r="M161" s="19"/>
      <c r="N161" s="312" t="s">
        <v>2036</v>
      </c>
      <c r="O161" s="161" t="s">
        <v>1510</v>
      </c>
      <c r="P161" s="161" t="s">
        <v>29</v>
      </c>
      <c r="Q161" s="19"/>
      <c r="R161" s="19"/>
      <c r="S161" s="19"/>
      <c r="T161" s="19"/>
      <c r="U161" s="19"/>
      <c r="V161" s="19"/>
      <c r="W161" s="19"/>
      <c r="X161" s="19"/>
      <c r="Y161" s="19"/>
      <c r="Z161" s="19"/>
      <c r="AA161" s="19"/>
    </row>
    <row r="162" spans="1:27" ht="15">
      <c r="A162" s="334" t="s">
        <v>17</v>
      </c>
      <c r="B162" s="334" t="s">
        <v>386</v>
      </c>
      <c r="C162" s="19"/>
      <c r="D162" s="19"/>
      <c r="E162" s="19"/>
      <c r="F162" s="19"/>
      <c r="G162" s="19"/>
      <c r="H162" s="19"/>
      <c r="I162" s="19"/>
      <c r="J162" s="19"/>
      <c r="K162" s="19"/>
      <c r="L162" s="19"/>
      <c r="M162" s="19"/>
      <c r="N162" s="258"/>
      <c r="O162" s="195" t="s">
        <v>1512</v>
      </c>
      <c r="P162" s="161" t="s">
        <v>32</v>
      </c>
      <c r="Q162" s="19"/>
      <c r="R162" s="19"/>
      <c r="S162" s="19"/>
      <c r="T162" s="19"/>
      <c r="U162" s="19"/>
      <c r="V162" s="19"/>
      <c r="W162" s="19"/>
      <c r="X162" s="19"/>
      <c r="Y162" s="19"/>
      <c r="Z162" s="19"/>
      <c r="AA162" s="19"/>
    </row>
    <row r="163" spans="1:27" ht="30">
      <c r="A163" s="334" t="s">
        <v>75</v>
      </c>
      <c r="B163" s="334" t="s">
        <v>386</v>
      </c>
      <c r="C163" s="19"/>
      <c r="D163" s="19"/>
      <c r="E163" s="19"/>
      <c r="F163" s="19"/>
      <c r="G163" s="19"/>
      <c r="H163" s="19"/>
      <c r="I163" s="19"/>
      <c r="J163" s="19"/>
      <c r="K163" s="19"/>
      <c r="L163" s="19"/>
      <c r="M163" s="19"/>
      <c r="N163" s="258"/>
      <c r="O163" s="161" t="s">
        <v>1518</v>
      </c>
      <c r="P163" s="161" t="s">
        <v>2022</v>
      </c>
      <c r="Q163" s="19"/>
      <c r="R163" s="19"/>
      <c r="S163" s="19"/>
      <c r="T163" s="19"/>
      <c r="U163" s="19"/>
      <c r="V163" s="19"/>
      <c r="W163" s="19"/>
      <c r="X163" s="19"/>
      <c r="Y163" s="19"/>
      <c r="Z163" s="19"/>
      <c r="AA163" s="19"/>
    </row>
    <row r="164" spans="1:27" ht="15">
      <c r="A164" s="334" t="s">
        <v>119</v>
      </c>
      <c r="B164" s="334" t="s">
        <v>386</v>
      </c>
      <c r="C164" s="19"/>
      <c r="D164" s="19"/>
      <c r="E164" s="19"/>
      <c r="F164" s="19"/>
      <c r="G164" s="19"/>
      <c r="H164" s="19"/>
      <c r="I164" s="19"/>
      <c r="J164" s="19"/>
      <c r="K164" s="19"/>
      <c r="L164" s="19"/>
      <c r="M164" s="19"/>
      <c r="N164" s="258"/>
      <c r="O164" s="161" t="s">
        <v>448</v>
      </c>
      <c r="P164" s="161" t="s">
        <v>2037</v>
      </c>
      <c r="Q164" s="19"/>
      <c r="R164" s="19"/>
      <c r="S164" s="19"/>
      <c r="T164" s="19"/>
      <c r="U164" s="19"/>
      <c r="V164" s="19"/>
      <c r="W164" s="19"/>
      <c r="X164" s="19"/>
      <c r="Y164" s="19"/>
      <c r="Z164" s="19"/>
      <c r="AA164" s="19"/>
    </row>
    <row r="165" spans="1:27" ht="15">
      <c r="A165" s="334" t="s">
        <v>136</v>
      </c>
      <c r="B165" s="334" t="s">
        <v>386</v>
      </c>
      <c r="C165" s="19"/>
      <c r="D165" s="19"/>
      <c r="E165" s="19"/>
      <c r="F165" s="19"/>
      <c r="G165" s="19"/>
      <c r="H165" s="19"/>
      <c r="I165" s="19"/>
      <c r="J165" s="19"/>
      <c r="K165" s="19"/>
      <c r="L165" s="19"/>
      <c r="M165" s="19"/>
      <c r="N165" s="258"/>
      <c r="O165" s="161" t="s">
        <v>689</v>
      </c>
      <c r="P165" s="161" t="s">
        <v>56</v>
      </c>
      <c r="Q165" s="19"/>
      <c r="R165" s="19"/>
      <c r="S165" s="19"/>
      <c r="T165" s="19"/>
      <c r="U165" s="19"/>
      <c r="V165" s="19"/>
      <c r="W165" s="19"/>
      <c r="X165" s="19"/>
      <c r="Y165" s="19"/>
      <c r="Z165" s="19"/>
      <c r="AA165" s="19"/>
    </row>
    <row r="166" spans="1:27" ht="15">
      <c r="A166" s="334" t="s">
        <v>163</v>
      </c>
      <c r="B166" s="334" t="s">
        <v>386</v>
      </c>
      <c r="C166" s="19"/>
      <c r="D166" s="19"/>
      <c r="E166" s="19"/>
      <c r="F166" s="19"/>
      <c r="G166" s="19"/>
      <c r="H166" s="19"/>
      <c r="I166" s="19"/>
      <c r="J166" s="19"/>
      <c r="K166" s="19"/>
      <c r="L166" s="19"/>
      <c r="M166" s="19"/>
      <c r="N166" s="258"/>
      <c r="O166" s="161" t="s">
        <v>1565</v>
      </c>
      <c r="P166" s="161" t="s">
        <v>129</v>
      </c>
      <c r="Q166" s="19"/>
      <c r="R166" s="19"/>
      <c r="S166" s="19"/>
      <c r="T166" s="19"/>
      <c r="U166" s="19"/>
      <c r="V166" s="19"/>
      <c r="W166" s="19"/>
      <c r="X166" s="19"/>
      <c r="Y166" s="19"/>
      <c r="Z166" s="19"/>
      <c r="AA166" s="19"/>
    </row>
    <row r="167" spans="1:27" ht="30">
      <c r="A167" s="19"/>
      <c r="B167" s="19"/>
      <c r="C167" s="19"/>
      <c r="D167" s="19"/>
      <c r="E167" s="19"/>
      <c r="F167" s="19"/>
      <c r="G167" s="19"/>
      <c r="H167" s="19"/>
      <c r="I167" s="19"/>
      <c r="J167" s="19"/>
      <c r="K167" s="19"/>
      <c r="L167" s="19"/>
      <c r="M167" s="19"/>
      <c r="N167" s="258"/>
      <c r="O167" s="161" t="s">
        <v>1579</v>
      </c>
      <c r="P167" s="161" t="s">
        <v>144</v>
      </c>
      <c r="Q167" s="19"/>
      <c r="R167" s="19"/>
      <c r="S167" s="19"/>
      <c r="T167" s="19"/>
      <c r="U167" s="19"/>
      <c r="V167" s="19"/>
      <c r="W167" s="19"/>
      <c r="X167" s="19"/>
      <c r="Y167" s="19"/>
      <c r="Z167" s="19"/>
      <c r="AA167" s="19"/>
    </row>
    <row r="168" spans="1:27" ht="15">
      <c r="A168" s="19"/>
      <c r="B168" s="19"/>
      <c r="C168" s="19"/>
      <c r="D168" s="19"/>
      <c r="E168" s="19"/>
      <c r="F168" s="19"/>
      <c r="G168" s="19"/>
      <c r="H168" s="19"/>
      <c r="I168" s="19"/>
      <c r="J168" s="19"/>
      <c r="K168" s="19"/>
      <c r="L168" s="19"/>
      <c r="M168" s="19"/>
      <c r="N168" s="258"/>
      <c r="O168" s="168" t="s">
        <v>1583</v>
      </c>
      <c r="P168" s="161" t="s">
        <v>151</v>
      </c>
      <c r="Q168" s="19"/>
      <c r="R168" s="19"/>
      <c r="S168" s="19"/>
      <c r="T168" s="19"/>
      <c r="U168" s="19"/>
      <c r="V168" s="19"/>
      <c r="W168" s="19"/>
      <c r="X168" s="19"/>
      <c r="Y168" s="19"/>
      <c r="Z168" s="19"/>
      <c r="AA168" s="19"/>
    </row>
    <row r="169" spans="1:27" ht="30">
      <c r="A169" s="19"/>
      <c r="B169" s="19"/>
      <c r="C169" s="19"/>
      <c r="D169" s="19"/>
      <c r="E169" s="19"/>
      <c r="F169" s="19"/>
      <c r="G169" s="19"/>
      <c r="H169" s="19"/>
      <c r="I169" s="19"/>
      <c r="J169" s="19"/>
      <c r="K169" s="19"/>
      <c r="L169" s="19"/>
      <c r="M169" s="19"/>
      <c r="N169" s="304" t="s">
        <v>2038</v>
      </c>
      <c r="O169" s="172" t="s">
        <v>1490</v>
      </c>
      <c r="P169" s="172" t="s">
        <v>17</v>
      </c>
      <c r="Q169" s="19"/>
      <c r="R169" s="19"/>
      <c r="S169" s="19"/>
      <c r="T169" s="19"/>
      <c r="U169" s="19"/>
      <c r="V169" s="19"/>
      <c r="W169" s="19"/>
      <c r="X169" s="19"/>
      <c r="Y169" s="19"/>
      <c r="Z169" s="19"/>
      <c r="AA169" s="19"/>
    </row>
    <row r="170" spans="1:27" ht="30">
      <c r="A170" s="19"/>
      <c r="B170" s="19"/>
      <c r="C170" s="19"/>
      <c r="D170" s="19"/>
      <c r="E170" s="19"/>
      <c r="F170" s="19"/>
      <c r="G170" s="19"/>
      <c r="H170" s="19"/>
      <c r="I170" s="19"/>
      <c r="J170" s="19"/>
      <c r="K170" s="19"/>
      <c r="L170" s="19"/>
      <c r="M170" s="19"/>
      <c r="N170" s="258"/>
      <c r="O170" s="172" t="s">
        <v>1483</v>
      </c>
      <c r="P170" s="172" t="s">
        <v>17</v>
      </c>
      <c r="Q170" s="19"/>
      <c r="R170" s="19"/>
      <c r="S170" s="19"/>
      <c r="T170" s="19"/>
      <c r="U170" s="19"/>
      <c r="V170" s="19"/>
      <c r="W170" s="19"/>
      <c r="X170" s="19"/>
      <c r="Y170" s="19"/>
      <c r="Z170" s="19"/>
      <c r="AA170" s="19"/>
    </row>
    <row r="171" spans="1:27" ht="15">
      <c r="A171" s="19"/>
      <c r="B171" s="19"/>
      <c r="C171" s="19"/>
      <c r="D171" s="19"/>
      <c r="E171" s="19"/>
      <c r="F171" s="19"/>
      <c r="G171" s="19"/>
      <c r="H171" s="19"/>
      <c r="I171" s="19"/>
      <c r="J171" s="19"/>
      <c r="K171" s="19"/>
      <c r="L171" s="19"/>
      <c r="M171" s="19"/>
      <c r="N171" s="258"/>
      <c r="O171" s="196" t="s">
        <v>1510</v>
      </c>
      <c r="P171" s="172" t="s">
        <v>29</v>
      </c>
      <c r="Q171" s="19"/>
      <c r="R171" s="19"/>
      <c r="S171" s="19"/>
      <c r="T171" s="19"/>
      <c r="U171" s="19"/>
      <c r="V171" s="19"/>
      <c r="W171" s="19"/>
      <c r="X171" s="19"/>
      <c r="Y171" s="19"/>
      <c r="Z171" s="19"/>
      <c r="AA171" s="19"/>
    </row>
    <row r="172" spans="1:27" ht="30">
      <c r="A172" s="19"/>
      <c r="B172" s="19"/>
      <c r="C172" s="19"/>
      <c r="D172" s="19"/>
      <c r="E172" s="19"/>
      <c r="F172" s="19"/>
      <c r="G172" s="19"/>
      <c r="H172" s="19"/>
      <c r="I172" s="19"/>
      <c r="J172" s="19"/>
      <c r="K172" s="19"/>
      <c r="L172" s="19"/>
      <c r="M172" s="19"/>
      <c r="N172" s="305" t="s">
        <v>2017</v>
      </c>
      <c r="O172" s="175" t="s">
        <v>1483</v>
      </c>
      <c r="P172" s="175" t="s">
        <v>17</v>
      </c>
      <c r="Q172" s="19"/>
      <c r="R172" s="19"/>
      <c r="S172" s="19"/>
      <c r="T172" s="19"/>
      <c r="U172" s="19"/>
      <c r="V172" s="19"/>
      <c r="W172" s="19"/>
      <c r="X172" s="19"/>
      <c r="Y172" s="19"/>
      <c r="Z172" s="19"/>
      <c r="AA172" s="19"/>
    </row>
    <row r="173" spans="1:27" ht="30">
      <c r="A173" s="19"/>
      <c r="B173" s="19"/>
      <c r="C173" s="19"/>
      <c r="D173" s="19"/>
      <c r="E173" s="19"/>
      <c r="F173" s="19"/>
      <c r="G173" s="19"/>
      <c r="H173" s="19"/>
      <c r="I173" s="19"/>
      <c r="J173" s="19"/>
      <c r="K173" s="19"/>
      <c r="L173" s="19"/>
      <c r="M173" s="19"/>
      <c r="N173" s="258"/>
      <c r="O173" s="175" t="s">
        <v>1490</v>
      </c>
      <c r="P173" s="175" t="s">
        <v>17</v>
      </c>
      <c r="Q173" s="19"/>
      <c r="R173" s="19"/>
      <c r="S173" s="19"/>
      <c r="T173" s="19"/>
      <c r="U173" s="19"/>
      <c r="V173" s="19"/>
      <c r="W173" s="19"/>
      <c r="X173" s="19"/>
      <c r="Y173" s="19"/>
      <c r="Z173" s="19"/>
      <c r="AA173" s="19"/>
    </row>
    <row r="174" spans="1:27" ht="15">
      <c r="A174" s="19"/>
      <c r="B174" s="19"/>
      <c r="C174" s="19"/>
      <c r="D174" s="19"/>
      <c r="E174" s="19"/>
      <c r="F174" s="19"/>
      <c r="G174" s="19"/>
      <c r="H174" s="19"/>
      <c r="I174" s="19"/>
      <c r="J174" s="19"/>
      <c r="K174" s="19"/>
      <c r="L174" s="19"/>
      <c r="M174" s="19"/>
      <c r="N174" s="258"/>
      <c r="O174" s="175" t="s">
        <v>448</v>
      </c>
      <c r="P174" s="175" t="s">
        <v>2037</v>
      </c>
      <c r="Q174" s="19"/>
      <c r="R174" s="19"/>
      <c r="S174" s="19"/>
      <c r="T174" s="19"/>
      <c r="U174" s="19"/>
      <c r="V174" s="19"/>
      <c r="W174" s="19"/>
      <c r="X174" s="19"/>
      <c r="Y174" s="19"/>
      <c r="Z174" s="19"/>
      <c r="AA174" s="19"/>
    </row>
    <row r="175" spans="1:27" ht="15">
      <c r="A175" s="19"/>
      <c r="B175" s="19"/>
      <c r="C175" s="19"/>
      <c r="D175" s="19"/>
      <c r="E175" s="19"/>
      <c r="F175" s="19"/>
      <c r="G175" s="19"/>
      <c r="H175" s="19"/>
      <c r="I175" s="19"/>
      <c r="J175" s="19"/>
      <c r="K175" s="19"/>
      <c r="L175" s="19"/>
      <c r="M175" s="19"/>
      <c r="N175" s="258"/>
      <c r="O175" s="175" t="s">
        <v>689</v>
      </c>
      <c r="P175" s="175" t="s">
        <v>56</v>
      </c>
      <c r="Q175" s="19"/>
      <c r="R175" s="19"/>
      <c r="S175" s="19"/>
      <c r="T175" s="19"/>
      <c r="U175" s="19"/>
      <c r="V175" s="19"/>
      <c r="W175" s="19"/>
      <c r="X175" s="19"/>
      <c r="Y175" s="19"/>
      <c r="Z175" s="19"/>
      <c r="AA175" s="19"/>
    </row>
    <row r="176" spans="1:27" ht="30">
      <c r="A176" s="19"/>
      <c r="B176" s="19"/>
      <c r="C176" s="19"/>
      <c r="D176" s="19"/>
      <c r="E176" s="19"/>
      <c r="F176" s="19"/>
      <c r="G176" s="19"/>
      <c r="H176" s="19"/>
      <c r="I176" s="19"/>
      <c r="L176" s="19"/>
      <c r="M176" s="19"/>
      <c r="N176" s="258"/>
      <c r="O176" s="175" t="s">
        <v>1557</v>
      </c>
      <c r="P176" s="175" t="s">
        <v>106</v>
      </c>
      <c r="Q176" s="19"/>
      <c r="R176" s="19"/>
      <c r="S176" s="19"/>
      <c r="T176" s="19"/>
      <c r="U176" s="19"/>
      <c r="V176" s="19"/>
      <c r="W176" s="19"/>
      <c r="X176" s="19"/>
      <c r="Y176" s="19"/>
      <c r="Z176" s="19"/>
      <c r="AA176" s="19"/>
    </row>
    <row r="177" spans="1:27" ht="15">
      <c r="A177" s="19"/>
      <c r="B177" s="19"/>
      <c r="C177" s="19"/>
      <c r="D177" s="19"/>
      <c r="E177" s="19"/>
      <c r="F177" s="19"/>
      <c r="G177" s="19"/>
      <c r="H177" s="19"/>
      <c r="I177" s="19"/>
      <c r="J177" s="19"/>
      <c r="K177" s="19"/>
      <c r="L177" s="19"/>
      <c r="M177" s="19"/>
      <c r="N177" s="254"/>
      <c r="O177" s="175" t="s">
        <v>1565</v>
      </c>
      <c r="P177" s="175" t="s">
        <v>129</v>
      </c>
      <c r="Q177" s="19"/>
      <c r="R177" s="19"/>
      <c r="S177" s="19"/>
      <c r="T177" s="19"/>
      <c r="U177" s="19"/>
      <c r="V177" s="19"/>
      <c r="W177" s="19"/>
      <c r="X177" s="19"/>
      <c r="Y177" s="19"/>
      <c r="Z177" s="19"/>
      <c r="AA177" s="19"/>
    </row>
    <row r="178" spans="1:27" ht="30">
      <c r="A178" s="19"/>
      <c r="B178" s="19"/>
      <c r="C178" s="19"/>
      <c r="D178" s="19"/>
      <c r="E178" s="19"/>
      <c r="F178" s="19"/>
      <c r="G178" s="19"/>
      <c r="H178" s="19"/>
      <c r="I178" s="19"/>
      <c r="J178" s="19"/>
      <c r="K178" s="19"/>
      <c r="L178" s="19"/>
      <c r="M178" s="19"/>
      <c r="N178" s="197" t="s">
        <v>2018</v>
      </c>
      <c r="O178" s="198" t="s">
        <v>1523</v>
      </c>
      <c r="P178" s="177" t="s">
        <v>43</v>
      </c>
      <c r="Q178" s="19"/>
      <c r="R178" s="19"/>
      <c r="S178" s="19"/>
      <c r="T178" s="19"/>
      <c r="U178" s="19"/>
      <c r="V178" s="19"/>
      <c r="W178" s="19"/>
      <c r="X178" s="19"/>
      <c r="Y178" s="19"/>
      <c r="Z178" s="19"/>
      <c r="AA178" s="19"/>
    </row>
    <row r="179" spans="1:27" ht="15">
      <c r="A179" s="19"/>
      <c r="B179" s="19"/>
      <c r="C179" s="19"/>
      <c r="D179" s="19"/>
      <c r="E179" s="19"/>
      <c r="F179" s="19"/>
      <c r="G179" s="19"/>
      <c r="H179" s="19"/>
      <c r="I179" s="19"/>
      <c r="J179" s="19"/>
      <c r="K179" s="19"/>
      <c r="L179" s="19"/>
      <c r="M179" s="19"/>
      <c r="N179" s="306" t="s">
        <v>2039</v>
      </c>
      <c r="O179" s="199" t="s">
        <v>1495</v>
      </c>
      <c r="P179" s="179" t="s">
        <v>21</v>
      </c>
      <c r="Q179" s="19"/>
      <c r="R179" s="19"/>
      <c r="S179" s="19"/>
      <c r="T179" s="19"/>
      <c r="U179" s="19"/>
      <c r="V179" s="19"/>
      <c r="W179" s="19"/>
      <c r="X179" s="19"/>
      <c r="Y179" s="19"/>
      <c r="Z179" s="19"/>
      <c r="AA179" s="19"/>
    </row>
    <row r="180" spans="1:27" ht="15">
      <c r="A180" s="19"/>
      <c r="B180" s="19"/>
      <c r="C180" s="19"/>
      <c r="D180" s="19"/>
      <c r="E180" s="19"/>
      <c r="F180" s="19"/>
      <c r="G180" s="19"/>
      <c r="H180" s="19"/>
      <c r="I180" s="19"/>
      <c r="J180" s="19"/>
      <c r="K180" s="19"/>
      <c r="L180" s="19"/>
      <c r="M180" s="19"/>
      <c r="N180" s="258"/>
      <c r="O180" s="199" t="s">
        <v>1500</v>
      </c>
      <c r="P180" s="179" t="s">
        <v>21</v>
      </c>
      <c r="Q180" s="19"/>
      <c r="R180" s="19"/>
      <c r="S180" s="19"/>
      <c r="T180" s="19"/>
      <c r="U180" s="19"/>
      <c r="V180" s="19"/>
      <c r="W180" s="19"/>
      <c r="X180" s="19"/>
      <c r="Y180" s="19"/>
      <c r="Z180" s="19"/>
      <c r="AA180" s="19"/>
    </row>
    <row r="181" spans="1:27" ht="15">
      <c r="A181" s="19"/>
      <c r="B181" s="19"/>
      <c r="C181" s="19"/>
      <c r="D181" s="19"/>
      <c r="E181" s="19"/>
      <c r="F181" s="19"/>
      <c r="G181" s="19"/>
      <c r="H181" s="19"/>
      <c r="I181" s="19"/>
      <c r="J181" s="19"/>
      <c r="K181" s="19"/>
      <c r="L181" s="19"/>
      <c r="M181" s="19"/>
      <c r="N181" s="258"/>
      <c r="O181" s="179" t="s">
        <v>1535</v>
      </c>
      <c r="P181" s="200" t="s">
        <v>69</v>
      </c>
      <c r="Q181" s="19"/>
      <c r="R181" s="19"/>
      <c r="S181" s="19"/>
      <c r="T181" s="19"/>
      <c r="U181" s="19"/>
      <c r="V181" s="19"/>
      <c r="W181" s="19"/>
      <c r="X181" s="19"/>
      <c r="Y181" s="19"/>
      <c r="Z181" s="19"/>
      <c r="AA181" s="19"/>
    </row>
    <row r="182" spans="1:27" ht="15">
      <c r="A182" s="19"/>
      <c r="B182" s="19"/>
      <c r="C182" s="19"/>
      <c r="D182" s="19"/>
      <c r="E182" s="19"/>
      <c r="F182" s="19"/>
      <c r="G182" s="19"/>
      <c r="H182" s="19"/>
      <c r="I182" s="19"/>
      <c r="J182" s="19"/>
      <c r="K182" s="19"/>
      <c r="L182" s="19"/>
      <c r="M182" s="19"/>
      <c r="N182" s="258"/>
      <c r="O182" s="183" t="s">
        <v>1569</v>
      </c>
      <c r="P182" s="200" t="s">
        <v>132</v>
      </c>
      <c r="Q182" s="19"/>
      <c r="R182" s="19"/>
      <c r="S182" s="19"/>
      <c r="T182" s="19"/>
      <c r="U182" s="19"/>
      <c r="V182" s="19"/>
      <c r="W182" s="19"/>
      <c r="X182" s="19"/>
      <c r="Y182" s="19"/>
      <c r="Z182" s="19"/>
      <c r="AA182" s="19"/>
    </row>
    <row r="183" spans="1:27" ht="15">
      <c r="A183" s="19"/>
      <c r="B183" s="19"/>
      <c r="C183" s="19"/>
      <c r="D183" s="19"/>
      <c r="E183" s="19"/>
      <c r="F183" s="19"/>
      <c r="G183" s="19"/>
      <c r="H183" s="19"/>
      <c r="I183" s="19"/>
      <c r="J183" s="19"/>
      <c r="K183" s="19"/>
      <c r="L183" s="19"/>
      <c r="M183" s="19"/>
      <c r="N183" s="254"/>
      <c r="O183" s="179" t="s">
        <v>1317</v>
      </c>
      <c r="P183" s="200" t="s">
        <v>176</v>
      </c>
      <c r="Q183" s="19"/>
      <c r="R183" s="19"/>
      <c r="S183" s="19"/>
      <c r="T183" s="19"/>
      <c r="U183" s="19"/>
      <c r="V183" s="19"/>
      <c r="W183" s="19"/>
      <c r="X183" s="19"/>
      <c r="Y183" s="19"/>
      <c r="Z183" s="19"/>
      <c r="AA183" s="19"/>
    </row>
    <row r="184" spans="1:27" ht="15">
      <c r="A184" s="19"/>
      <c r="B184" s="19"/>
      <c r="C184" s="19"/>
      <c r="D184" s="19"/>
      <c r="E184" s="19"/>
      <c r="F184" s="19"/>
      <c r="G184" s="19"/>
      <c r="H184" s="19"/>
      <c r="I184" s="19"/>
      <c r="J184" s="19"/>
      <c r="K184" s="19"/>
      <c r="L184" s="19"/>
      <c r="M184" s="19"/>
      <c r="N184" s="307" t="s">
        <v>2040</v>
      </c>
      <c r="O184" s="186" t="s">
        <v>1533</v>
      </c>
      <c r="P184" s="201" t="s">
        <v>65</v>
      </c>
      <c r="Q184" s="19"/>
      <c r="R184" s="19"/>
      <c r="S184" s="19"/>
      <c r="T184" s="19"/>
      <c r="U184" s="19"/>
      <c r="V184" s="19"/>
      <c r="W184" s="19"/>
      <c r="X184" s="19"/>
      <c r="Y184" s="19"/>
      <c r="Z184" s="19"/>
      <c r="AA184" s="19"/>
    </row>
    <row r="185" spans="1:27" ht="15">
      <c r="A185" s="19"/>
      <c r="B185" s="19"/>
      <c r="C185" s="19"/>
      <c r="D185" s="19"/>
      <c r="E185" s="19"/>
      <c r="F185" s="19"/>
      <c r="G185" s="19"/>
      <c r="H185" s="19"/>
      <c r="I185" s="19"/>
      <c r="J185" s="19"/>
      <c r="K185" s="19"/>
      <c r="L185" s="19"/>
      <c r="M185" s="19"/>
      <c r="N185" s="258"/>
      <c r="O185" s="186" t="s">
        <v>1535</v>
      </c>
      <c r="P185" s="201" t="s">
        <v>69</v>
      </c>
      <c r="Q185" s="19"/>
      <c r="R185" s="19"/>
      <c r="S185" s="19"/>
      <c r="T185" s="19"/>
      <c r="U185" s="19"/>
      <c r="V185" s="19"/>
      <c r="W185" s="19"/>
      <c r="X185" s="19"/>
      <c r="Y185" s="19"/>
      <c r="Z185" s="19"/>
      <c r="AA185" s="19"/>
    </row>
    <row r="186" spans="1:27" ht="15">
      <c r="A186" s="19"/>
      <c r="B186" s="19"/>
      <c r="C186" s="19"/>
      <c r="D186" s="19"/>
      <c r="E186" s="19"/>
      <c r="F186" s="19"/>
      <c r="G186" s="19"/>
      <c r="H186" s="19"/>
      <c r="I186" s="19"/>
      <c r="J186" s="19"/>
      <c r="K186" s="19"/>
      <c r="L186" s="19"/>
      <c r="M186" s="19"/>
      <c r="N186" s="254"/>
      <c r="O186" s="186" t="s">
        <v>1577</v>
      </c>
      <c r="P186" s="201" t="s">
        <v>140</v>
      </c>
      <c r="Q186" s="19"/>
      <c r="R186" s="19"/>
      <c r="S186" s="19"/>
      <c r="T186" s="19"/>
      <c r="U186" s="19"/>
      <c r="V186" s="19"/>
      <c r="W186" s="19"/>
      <c r="X186" s="19"/>
      <c r="Y186" s="19"/>
      <c r="Z186" s="19"/>
      <c r="AA186" s="19"/>
    </row>
    <row r="187" spans="1:27" ht="14">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ht="14">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ht="14">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ht="14">
      <c r="C190" s="19"/>
      <c r="D190" s="19"/>
      <c r="E190" s="19"/>
      <c r="F190" s="19"/>
      <c r="G190" s="19"/>
      <c r="H190" s="19"/>
      <c r="I190" s="19"/>
      <c r="J190" s="19"/>
      <c r="K190" s="19"/>
      <c r="L190" s="19"/>
      <c r="M190" s="19"/>
      <c r="Q190" s="19"/>
      <c r="R190" s="19"/>
      <c r="S190" s="19"/>
      <c r="T190" s="19"/>
      <c r="U190" s="19"/>
      <c r="V190" s="19"/>
      <c r="W190" s="19"/>
      <c r="X190" s="19"/>
      <c r="Y190" s="19"/>
      <c r="Z190" s="19"/>
      <c r="AA190" s="19"/>
    </row>
  </sheetData>
  <mergeCells count="85">
    <mergeCell ref="K83:L83"/>
    <mergeCell ref="K84:L84"/>
    <mergeCell ref="N84:N89"/>
    <mergeCell ref="K85:L85"/>
    <mergeCell ref="K86:L86"/>
    <mergeCell ref="K87:L87"/>
    <mergeCell ref="K89:L89"/>
    <mergeCell ref="K90:L90"/>
    <mergeCell ref="N90:N92"/>
    <mergeCell ref="K91:L91"/>
    <mergeCell ref="K92:L92"/>
    <mergeCell ref="K93:L93"/>
    <mergeCell ref="J106:L108"/>
    <mergeCell ref="J109:L109"/>
    <mergeCell ref="K110:L110"/>
    <mergeCell ref="K111:L111"/>
    <mergeCell ref="K112:L112"/>
    <mergeCell ref="K113:L113"/>
    <mergeCell ref="K114:L114"/>
    <mergeCell ref="K137:L137"/>
    <mergeCell ref="K138:L138"/>
    <mergeCell ref="K115:L115"/>
    <mergeCell ref="K116:L116"/>
    <mergeCell ref="K117:L117"/>
    <mergeCell ref="K118:L118"/>
    <mergeCell ref="J132:L134"/>
    <mergeCell ref="J135:L135"/>
    <mergeCell ref="K136:L136"/>
    <mergeCell ref="N169:N171"/>
    <mergeCell ref="N172:N177"/>
    <mergeCell ref="N179:N183"/>
    <mergeCell ref="N184:N186"/>
    <mergeCell ref="N93:N95"/>
    <mergeCell ref="N98:N122"/>
    <mergeCell ref="N123:N130"/>
    <mergeCell ref="N131:N149"/>
    <mergeCell ref="N150:N156"/>
    <mergeCell ref="N157:N160"/>
    <mergeCell ref="N161:N168"/>
    <mergeCell ref="B1:E3"/>
    <mergeCell ref="G1:J3"/>
    <mergeCell ref="L1:O3"/>
    <mergeCell ref="Q1:T3"/>
    <mergeCell ref="B4:E4"/>
    <mergeCell ref="G4:J4"/>
    <mergeCell ref="Q4:T4"/>
    <mergeCell ref="L4:O4"/>
    <mergeCell ref="N5:O5"/>
    <mergeCell ref="N6:O6"/>
    <mergeCell ref="N7:O7"/>
    <mergeCell ref="N8:O8"/>
    <mergeCell ref="B25:E27"/>
    <mergeCell ref="N25:T27"/>
    <mergeCell ref="R28:T28"/>
    <mergeCell ref="G59:J59"/>
    <mergeCell ref="I60:J60"/>
    <mergeCell ref="S60:U60"/>
    <mergeCell ref="I61:J61"/>
    <mergeCell ref="N56:U58"/>
    <mergeCell ref="I62:J62"/>
    <mergeCell ref="G25:J27"/>
    <mergeCell ref="G28:J28"/>
    <mergeCell ref="I29:J29"/>
    <mergeCell ref="I30:J30"/>
    <mergeCell ref="I31:J31"/>
    <mergeCell ref="G56:J58"/>
    <mergeCell ref="B56:E58"/>
    <mergeCell ref="B59:E59"/>
    <mergeCell ref="D60:E60"/>
    <mergeCell ref="D61:E61"/>
    <mergeCell ref="D62:E62"/>
    <mergeCell ref="D63:E63"/>
    <mergeCell ref="D64:E64"/>
    <mergeCell ref="B79:G81"/>
    <mergeCell ref="B82:C82"/>
    <mergeCell ref="D65:E65"/>
    <mergeCell ref="S82:V82"/>
    <mergeCell ref="I67:J67"/>
    <mergeCell ref="I68:J68"/>
    <mergeCell ref="I69:J69"/>
    <mergeCell ref="J79:L81"/>
    <mergeCell ref="S79:V81"/>
    <mergeCell ref="N79:P81"/>
    <mergeCell ref="N82:P82"/>
    <mergeCell ref="J82:L8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W134"/>
  <sheetViews>
    <sheetView topLeftCell="N101" workbookViewId="0"/>
  </sheetViews>
  <sheetFormatPr baseColWidth="10" defaultColWidth="12.6640625" defaultRowHeight="15.75" customHeight="1"/>
  <cols>
    <col min="2" max="2" width="24.83203125" customWidth="1"/>
    <col min="3" max="3" width="39.6640625" customWidth="1"/>
    <col min="4" max="4" width="27.5" customWidth="1"/>
    <col min="5" max="5" width="27.6640625" customWidth="1"/>
    <col min="7" max="7" width="25.1640625" customWidth="1"/>
    <col min="9" max="9" width="24.1640625" customWidth="1"/>
    <col min="10" max="10" width="27.33203125" customWidth="1"/>
    <col min="11" max="11" width="27.1640625" customWidth="1"/>
    <col min="12" max="12" width="20.83203125" customWidth="1"/>
    <col min="13" max="13" width="17.6640625" customWidth="1"/>
    <col min="14" max="14" width="36.1640625" customWidth="1"/>
    <col min="15" max="15" width="17.1640625" customWidth="1"/>
    <col min="17" max="18" width="18.1640625" customWidth="1"/>
  </cols>
  <sheetData>
    <row r="1" spans="1:23" ht="15.75" customHeight="1">
      <c r="A1" s="19"/>
      <c r="B1" s="19"/>
      <c r="C1" s="19"/>
      <c r="D1" s="19"/>
      <c r="E1" s="19"/>
      <c r="F1" s="19"/>
      <c r="G1" s="19"/>
      <c r="H1" s="19"/>
      <c r="I1" s="19"/>
      <c r="J1" s="19"/>
      <c r="K1" s="19"/>
      <c r="L1" s="19"/>
      <c r="M1" s="19"/>
      <c r="N1" s="19"/>
      <c r="O1" s="19"/>
      <c r="P1" s="19"/>
      <c r="Q1" s="19"/>
      <c r="R1" s="19"/>
      <c r="S1" s="19"/>
      <c r="T1" s="19"/>
      <c r="U1" s="19"/>
      <c r="V1" s="19"/>
      <c r="W1" s="19"/>
    </row>
    <row r="2" spans="1:23" ht="15.75" customHeight="1">
      <c r="A2" s="19"/>
      <c r="B2" s="279" t="s">
        <v>2041</v>
      </c>
      <c r="C2" s="280"/>
      <c r="D2" s="281"/>
      <c r="E2" s="120"/>
      <c r="F2" s="19"/>
      <c r="G2" s="279" t="s">
        <v>2042</v>
      </c>
      <c r="H2" s="280"/>
      <c r="I2" s="281"/>
      <c r="J2" s="19"/>
      <c r="K2" s="19"/>
      <c r="L2" s="279" t="s">
        <v>2043</v>
      </c>
      <c r="M2" s="280"/>
      <c r="N2" s="280"/>
      <c r="O2" s="281"/>
      <c r="P2" s="19"/>
      <c r="Q2" s="154"/>
      <c r="R2" s="301" t="s">
        <v>2044</v>
      </c>
      <c r="S2" s="280"/>
      <c r="T2" s="280"/>
      <c r="U2" s="281"/>
      <c r="V2" s="19"/>
      <c r="W2" s="19"/>
    </row>
    <row r="3" spans="1:23" ht="15.75" customHeight="1">
      <c r="A3" s="19"/>
      <c r="B3" s="282"/>
      <c r="C3" s="268"/>
      <c r="D3" s="283"/>
      <c r="E3" s="120"/>
      <c r="F3" s="19"/>
      <c r="G3" s="282"/>
      <c r="H3" s="268"/>
      <c r="I3" s="283"/>
      <c r="J3" s="19"/>
      <c r="K3" s="19"/>
      <c r="L3" s="282"/>
      <c r="M3" s="268"/>
      <c r="N3" s="268"/>
      <c r="O3" s="283"/>
      <c r="P3" s="19"/>
      <c r="Q3" s="154"/>
      <c r="R3" s="282"/>
      <c r="S3" s="268"/>
      <c r="T3" s="268"/>
      <c r="U3" s="283"/>
      <c r="V3" s="19"/>
      <c r="W3" s="19"/>
    </row>
    <row r="4" spans="1:23" ht="15.75" customHeight="1">
      <c r="A4" s="19"/>
      <c r="B4" s="284"/>
      <c r="C4" s="285"/>
      <c r="D4" s="286"/>
      <c r="E4" s="120"/>
      <c r="F4" s="19"/>
      <c r="G4" s="284"/>
      <c r="H4" s="285"/>
      <c r="I4" s="286"/>
      <c r="J4" s="19"/>
      <c r="K4" s="19"/>
      <c r="L4" s="284"/>
      <c r="M4" s="285"/>
      <c r="N4" s="285"/>
      <c r="O4" s="286"/>
      <c r="P4" s="19"/>
      <c r="Q4" s="154"/>
      <c r="R4" s="284"/>
      <c r="S4" s="285"/>
      <c r="T4" s="285"/>
      <c r="U4" s="286"/>
      <c r="V4" s="19"/>
      <c r="W4" s="19"/>
    </row>
    <row r="5" spans="1:23" ht="15.75" customHeight="1">
      <c r="A5" s="19"/>
      <c r="B5" s="274" t="s">
        <v>2045</v>
      </c>
      <c r="C5" s="268"/>
      <c r="D5" s="268"/>
      <c r="E5" s="121"/>
      <c r="F5" s="19"/>
      <c r="G5" s="274" t="s">
        <v>2046</v>
      </c>
      <c r="H5" s="268"/>
      <c r="I5" s="268"/>
      <c r="J5" s="19"/>
      <c r="K5" s="19"/>
      <c r="L5" s="274" t="s">
        <v>2047</v>
      </c>
      <c r="M5" s="268"/>
      <c r="N5" s="268"/>
      <c r="O5" s="19"/>
      <c r="P5" s="19"/>
      <c r="Q5" s="121"/>
      <c r="R5" s="274" t="s">
        <v>2048</v>
      </c>
      <c r="S5" s="268"/>
      <c r="T5" s="268"/>
      <c r="U5" s="268"/>
      <c r="V5" s="19"/>
      <c r="W5" s="19"/>
    </row>
    <row r="6" spans="1:23" ht="15.75" customHeight="1">
      <c r="A6" s="19"/>
      <c r="B6" s="133" t="s">
        <v>2049</v>
      </c>
      <c r="C6" s="124" t="s">
        <v>1841</v>
      </c>
      <c r="D6" s="124" t="s">
        <v>1469</v>
      </c>
      <c r="E6" s="122"/>
      <c r="F6" s="19"/>
      <c r="G6" s="133" t="s">
        <v>2050</v>
      </c>
      <c r="H6" s="124" t="s">
        <v>1841</v>
      </c>
      <c r="I6" s="124" t="s">
        <v>1469</v>
      </c>
      <c r="J6" s="19"/>
      <c r="K6" s="19"/>
      <c r="L6" s="133" t="s">
        <v>2051</v>
      </c>
      <c r="M6" s="124" t="s">
        <v>1841</v>
      </c>
      <c r="N6" s="124" t="s">
        <v>1469</v>
      </c>
      <c r="O6" s="19"/>
      <c r="P6" s="19"/>
      <c r="Q6" s="202"/>
      <c r="R6" s="158" t="s">
        <v>2052</v>
      </c>
      <c r="S6" s="203" t="s">
        <v>2053</v>
      </c>
      <c r="T6" s="203" t="s">
        <v>2054</v>
      </c>
      <c r="U6" s="203" t="s">
        <v>386</v>
      </c>
      <c r="V6" s="19"/>
      <c r="W6" s="19"/>
    </row>
    <row r="7" spans="1:23" ht="15.75" customHeight="1">
      <c r="A7" s="19"/>
      <c r="B7" s="5" t="s">
        <v>2055</v>
      </c>
      <c r="C7" s="5">
        <f>COUNTIF(CleanedData!B173:B222,"case study")</f>
        <v>23</v>
      </c>
      <c r="D7" s="136" t="str">
        <f ca="1">IFERROR(__xludf.DUMMYFUNCTION("JOIN ("", "", FILTER(CleanedData!A173:A222, CleanedData!B173:B222=""case study""))"),"P1, P2, P3, P9, P11, P12, P13, P14, P15, P17, P19, P20, P22, P23, P27, P29, P30, P33, P35, P36, P39, P40, P45")</f>
        <v>P1, P2, P3, P9, P11, P12, P13, P14, P15, P17, P19, P20, P22, P23, P27, P29, P30, P33, P35, P36, P39, P40, P45</v>
      </c>
      <c r="E7" s="19"/>
      <c r="F7" s="19"/>
      <c r="G7" s="5" t="s">
        <v>2056</v>
      </c>
      <c r="H7" s="5">
        <f>COUNTIF(CleanedData!E173:E218,"academic")</f>
        <v>41</v>
      </c>
      <c r="I7" s="136" t="str">
        <f ca="1">IFERROR(__xludf.DUMMYFUNCTION("JOIN ("", "", FILTER(CleanedData!D173:D218, CleanedData!E173:E218=""academic""))"),"P1, P2, P3, P4, P5, P6, P7, P8, P9, P10, P11, P13, P14, P16, P17, P18, P19, P20, P21, P22, P23, P24, P25, P26, P27, P28, P29, P30, P32, P34, P36, P37, P38, P39, P40, P41, P42, P43, P44, P45, P46")</f>
        <v>P1, P2, P3, P4, P5, P6, P7, P8, P9, P10, P11, P13, P14, P16, P17, P18, P19, P20, P21, P22, P23, P24, P25, P26, P27, P28, P29, P30, P32, P34, P36, P37, P38, P39, P40, P41, P42, P43, P44, P45, P46</v>
      </c>
      <c r="J7" s="19"/>
      <c r="K7" s="19"/>
      <c r="L7" s="5" t="s">
        <v>2057</v>
      </c>
      <c r="M7" s="5">
        <f>COUNTIF(CleanedData!F173:F218,"yes")</f>
        <v>17</v>
      </c>
      <c r="N7" s="136" t="str">
        <f ca="1">IFERROR(__xludf.DUMMYFUNCTION("JOIN ("", "", FILTER(CleanedData!D173:D218, CleanedData!F173:F218=""yes""))"),"P1, P2, P4, P8, P10, P13, P14, P16, P17, P22, P23, P32, P34, P35, P39, P42, P44")</f>
        <v>P1, P2, P4, P8, P10, P13, P14, P16, P17, P22, P23, P32, P34, P35, P39, P42, P44</v>
      </c>
      <c r="O7" s="19"/>
      <c r="P7" s="19"/>
      <c r="Q7" s="202"/>
      <c r="R7" s="204" t="s">
        <v>2058</v>
      </c>
      <c r="S7" s="205">
        <f ca="1">IFERROR(__xludf.DUMMYFUNCTION("QUERY(CleanedData!F173:G218,""select count(F) where F='yes' AND G='yes'label count(F) ''"")"),14)</f>
        <v>14</v>
      </c>
      <c r="T7" s="205">
        <f ca="1">IFERROR(__xludf.DUMMYFUNCTION("QUERY(CleanedData!F173:G218,""select count(F) where F='yes' AND G='no'label count(F) ''"")"),3)</f>
        <v>3</v>
      </c>
      <c r="U7" s="205">
        <v>0</v>
      </c>
      <c r="V7" s="19"/>
      <c r="W7" s="19"/>
    </row>
    <row r="8" spans="1:23" ht="15.75" customHeight="1">
      <c r="A8" s="19"/>
      <c r="B8" s="5" t="s">
        <v>1228</v>
      </c>
      <c r="C8" s="5">
        <f>COUNTIF(CleanedData!B173:B222,"experiments")</f>
        <v>17</v>
      </c>
      <c r="D8" s="136" t="str">
        <f ca="1">IFERROR(__xludf.DUMMYFUNCTION("JOIN ("", "", FILTER(CleanedData!A173:A222, CleanedData!B173:B222=""experiments""))"),"P4, P7, P10, P16, P22, P24, P25, P28, P31, P34, P35, P37, P38, P41, P42, P44, P46")</f>
        <v>P4, P7, P10, P16, P22, P24, P25, P28, P31, P34, P35, P37, P38, P41, P42, P44, P46</v>
      </c>
      <c r="E8" s="146"/>
      <c r="F8" s="19"/>
      <c r="G8" s="5" t="s">
        <v>2059</v>
      </c>
      <c r="H8" s="5">
        <f>COUNTIF(CleanedData!E173:E218,"industrial")</f>
        <v>4</v>
      </c>
      <c r="I8" s="136" t="str">
        <f ca="1">IFERROR(__xludf.DUMMYFUNCTION("JOIN ("", "", FILTER(CleanedData!D173:D218, CleanedData!E173:E218=""industrial""))"),"P12, P15, P31, P33")</f>
        <v>P12, P15, P31, P33</v>
      </c>
      <c r="J8" s="19"/>
      <c r="K8" s="206"/>
      <c r="L8" s="5" t="s">
        <v>2060</v>
      </c>
      <c r="M8" s="5">
        <f>COUNTIF(CleanedData!F173:F218,"no")</f>
        <v>6</v>
      </c>
      <c r="N8" s="136" t="str">
        <f ca="1">IFERROR(__xludf.DUMMYFUNCTION("JOIN ("", "", FILTER(CleanedData!D173:D218, CleanedData!F173:F218=""no""))"),"P7, P26, P27, P31, P33, P45")</f>
        <v>P7, P26, P27, P31, P33, P45</v>
      </c>
      <c r="O8" s="19"/>
      <c r="P8" s="19"/>
      <c r="Q8" s="202"/>
      <c r="R8" s="204" t="s">
        <v>2061</v>
      </c>
      <c r="S8" s="205">
        <v>0</v>
      </c>
      <c r="T8" s="205">
        <f ca="1">IFERROR(__xludf.DUMMYFUNCTION("QUERY(CleanedData!F173:G218,""select count(F) where F='no' AND G='no'label count(F) ''"")"),6)</f>
        <v>6</v>
      </c>
      <c r="U8" s="205">
        <v>0</v>
      </c>
      <c r="V8" s="19"/>
      <c r="W8" s="19"/>
    </row>
    <row r="9" spans="1:23" ht="15.75" customHeight="1">
      <c r="A9" s="19"/>
      <c r="B9" s="5" t="s">
        <v>2062</v>
      </c>
      <c r="C9" s="5">
        <f>COUNTIF(CleanedData!B173:B222,"conformance to guidelines")</f>
        <v>2</v>
      </c>
      <c r="D9" s="136" t="str">
        <f ca="1">IFERROR(__xludf.DUMMYFUNCTION("JOIN ("", "", FILTER(CleanedData!A173:A222, CleanedData!B173:B222=""conformance to guidelines""))"),"P28, P35")</f>
        <v>P28, P35</v>
      </c>
      <c r="E9" s="19"/>
      <c r="F9" s="19"/>
      <c r="G9" s="165" t="s">
        <v>2063</v>
      </c>
      <c r="H9" s="165">
        <f>COUNTIF(CleanedData!E173:E218,"academic and industrial")</f>
        <v>1</v>
      </c>
      <c r="I9" s="140" t="str">
        <f ca="1">IFERROR(__xludf.DUMMYFUNCTION("JOIN ("", "", FILTER(CleanedData!D173:D218, CleanedData!E173:E218=""academic and industrial""))"),"P35")</f>
        <v>P35</v>
      </c>
      <c r="J9" s="19"/>
      <c r="K9" s="19"/>
      <c r="L9" s="5" t="s">
        <v>2064</v>
      </c>
      <c r="M9" s="5">
        <f>COUNTIF(CleanedData!F173:F218,"no tool mentioned in study")</f>
        <v>23</v>
      </c>
      <c r="N9" s="136" t="str">
        <f ca="1">IFERROR(__xludf.DUMMYFUNCTION("JOIN ("", "", FILTER(CleanedData!D173:D218, CleanedData!F173:F218=""no tool mentioned in study""))"),"P3, P5, P6, P9, P11, P12, P15, P18, P19, P20, P21, P24, P25, P28, P29, P30, P36, P37, P38, P40, P41, P43, P46")</f>
        <v>P3, P5, P6, P9, P11, P12, P15, P18, P19, P20, P21, P24, P25, P28, P29, P30, P36, P37, P38, P40, P41, P43, P46</v>
      </c>
      <c r="O9" s="19"/>
      <c r="P9" s="19"/>
      <c r="Q9" s="202"/>
      <c r="R9" s="204" t="s">
        <v>2065</v>
      </c>
      <c r="S9" s="205">
        <v>0</v>
      </c>
      <c r="T9" s="205">
        <v>0</v>
      </c>
      <c r="U9" s="205">
        <f ca="1">IFERROR(__xludf.DUMMYFUNCTION("QUERY(CleanedData!F173:G218,""select count(F) where F='no tool mentioned in study' AND G='N/A'label count(F) ''"")"),23)</f>
        <v>23</v>
      </c>
      <c r="V9" s="19"/>
      <c r="W9" s="19"/>
    </row>
    <row r="10" spans="1:23" ht="15.75" customHeight="1">
      <c r="A10" s="19"/>
      <c r="B10" s="5" t="s">
        <v>2066</v>
      </c>
      <c r="C10" s="5">
        <f>COUNTIF(CleanedData!B173:B222,"no evaluation")</f>
        <v>8</v>
      </c>
      <c r="D10" s="136" t="str">
        <f ca="1">IFERROR(__xludf.DUMMYFUNCTION("JOIN ("", "", FILTER(CleanedData!A173:A222, CleanedData!B173:B222=""no evaluation""))"),"P5, P6, P8, P18, P21, P26, P32, P43")</f>
        <v>P5, P6, P8, P18, P21, P26, P32, P43</v>
      </c>
      <c r="E10" s="19"/>
      <c r="F10" s="19"/>
      <c r="G10" s="147"/>
      <c r="H10" s="147"/>
      <c r="I10" s="144"/>
      <c r="J10" s="19"/>
      <c r="K10" s="19"/>
      <c r="L10" s="19"/>
      <c r="M10" s="19"/>
      <c r="N10" s="19"/>
      <c r="O10" s="19"/>
      <c r="P10" s="19"/>
      <c r="Q10" s="19"/>
      <c r="R10" s="19"/>
      <c r="S10" s="19"/>
      <c r="T10" s="19"/>
      <c r="U10" s="19"/>
      <c r="V10" s="19"/>
      <c r="W10" s="19"/>
    </row>
    <row r="11" spans="1:23" ht="15.75" customHeight="1">
      <c r="A11" s="19"/>
      <c r="E11" s="19"/>
      <c r="F11" s="19"/>
      <c r="G11" s="19"/>
      <c r="H11" s="19"/>
      <c r="I11" s="146"/>
      <c r="J11" s="19"/>
      <c r="K11" s="19"/>
      <c r="L11" s="19"/>
      <c r="M11" s="19"/>
      <c r="N11" s="19"/>
      <c r="O11" s="19"/>
      <c r="P11" s="19"/>
      <c r="Q11" s="19"/>
      <c r="R11" s="19"/>
      <c r="S11" s="19"/>
      <c r="T11" s="19"/>
      <c r="U11" s="19"/>
      <c r="V11" s="19"/>
      <c r="W11" s="19"/>
    </row>
    <row r="12" spans="1:23" ht="15.75" customHeight="1">
      <c r="A12" s="19"/>
      <c r="E12" s="19"/>
      <c r="F12" s="19"/>
      <c r="G12" s="19"/>
      <c r="H12" s="19"/>
      <c r="I12" s="146"/>
      <c r="J12" s="19"/>
      <c r="K12" s="19"/>
      <c r="L12" s="19"/>
      <c r="M12" s="19"/>
      <c r="N12" s="19"/>
      <c r="O12" s="19"/>
      <c r="P12" s="19"/>
      <c r="Q12" s="19"/>
      <c r="R12" s="19"/>
      <c r="S12" s="19"/>
      <c r="T12" s="19"/>
      <c r="U12" s="19"/>
      <c r="V12" s="19"/>
      <c r="W12" s="19"/>
    </row>
    <row r="13" spans="1:23" ht="15.75" customHeight="1">
      <c r="A13" s="19"/>
      <c r="B13" s="19"/>
      <c r="C13" s="19"/>
      <c r="D13" s="19"/>
      <c r="E13" s="19"/>
      <c r="F13" s="19"/>
      <c r="G13" s="19"/>
      <c r="H13" s="19"/>
      <c r="I13" s="19"/>
      <c r="J13" s="19"/>
      <c r="K13" s="19"/>
      <c r="L13" s="19"/>
      <c r="M13" s="19"/>
      <c r="N13" s="19"/>
      <c r="O13" s="19"/>
      <c r="P13" s="19"/>
      <c r="Q13" s="19"/>
      <c r="R13" s="19"/>
      <c r="S13" s="19"/>
      <c r="T13" s="19"/>
      <c r="U13" s="19"/>
      <c r="V13" s="19"/>
      <c r="W13" s="19"/>
    </row>
    <row r="14" spans="1:23" ht="15.75" customHeight="1">
      <c r="A14" s="19"/>
      <c r="B14" s="19"/>
      <c r="C14" s="19"/>
      <c r="D14" s="19"/>
      <c r="E14" s="19"/>
      <c r="F14" s="19"/>
      <c r="G14" s="19"/>
      <c r="H14" s="19"/>
      <c r="I14" s="19"/>
      <c r="J14" s="19"/>
      <c r="K14" s="19"/>
      <c r="L14" s="19"/>
      <c r="M14" s="19"/>
      <c r="N14" s="19"/>
      <c r="O14" s="19"/>
      <c r="P14" s="19"/>
      <c r="Q14" s="19"/>
      <c r="R14" s="19"/>
      <c r="S14" s="19"/>
      <c r="T14" s="19"/>
      <c r="U14" s="19"/>
      <c r="V14" s="19"/>
      <c r="W14" s="19"/>
    </row>
    <row r="15" spans="1:23" ht="15.75" customHeight="1">
      <c r="A15" s="19"/>
      <c r="B15" s="19"/>
      <c r="C15" s="19"/>
      <c r="D15" s="19"/>
      <c r="E15" s="19"/>
      <c r="F15" s="19"/>
      <c r="G15" s="19"/>
      <c r="H15" s="19"/>
      <c r="I15" s="19"/>
      <c r="J15" s="19"/>
      <c r="K15" s="19"/>
      <c r="L15" s="19"/>
      <c r="M15" s="19"/>
      <c r="N15" s="19"/>
      <c r="O15" s="19"/>
      <c r="P15" s="19"/>
      <c r="Q15" s="19"/>
      <c r="R15" s="19"/>
      <c r="S15" s="19"/>
      <c r="T15" s="19"/>
      <c r="U15" s="19"/>
      <c r="V15" s="19"/>
      <c r="W15" s="19"/>
    </row>
    <row r="16" spans="1:23" ht="15.75" customHeight="1">
      <c r="A16" s="19"/>
      <c r="B16" s="19"/>
      <c r="C16" s="19"/>
      <c r="D16" s="19"/>
      <c r="E16" s="19"/>
      <c r="F16" s="19"/>
      <c r="G16" s="19"/>
      <c r="H16" s="19"/>
      <c r="I16" s="19"/>
      <c r="J16" s="19"/>
      <c r="K16" s="19"/>
      <c r="L16" s="19"/>
      <c r="M16" s="19"/>
      <c r="N16" s="19"/>
      <c r="O16" s="19"/>
      <c r="P16" s="19"/>
      <c r="Q16" s="19"/>
      <c r="R16" s="19"/>
      <c r="S16" s="19"/>
      <c r="T16" s="19"/>
      <c r="U16" s="19"/>
      <c r="V16" s="19"/>
      <c r="W16" s="19"/>
    </row>
    <row r="17" spans="1:23" ht="15.75" customHeight="1">
      <c r="A17" s="19"/>
      <c r="B17" s="19"/>
      <c r="C17" s="19"/>
      <c r="D17" s="19"/>
      <c r="E17" s="19"/>
      <c r="F17" s="19"/>
      <c r="G17" s="19"/>
      <c r="H17" s="19"/>
      <c r="I17" s="19"/>
      <c r="J17" s="19"/>
      <c r="K17" s="19"/>
      <c r="L17" s="19"/>
      <c r="M17" s="19"/>
      <c r="N17" s="19"/>
      <c r="O17" s="19"/>
      <c r="P17" s="19"/>
      <c r="Q17" s="19"/>
      <c r="R17" s="19"/>
      <c r="S17" s="19"/>
      <c r="T17" s="19"/>
      <c r="U17" s="19"/>
      <c r="V17" s="19"/>
      <c r="W17" s="19"/>
    </row>
    <row r="18" spans="1:23" ht="15.75" customHeight="1">
      <c r="A18" s="19"/>
      <c r="B18" s="19"/>
      <c r="C18" s="19"/>
      <c r="D18" s="19"/>
      <c r="E18" s="19"/>
      <c r="F18" s="19"/>
      <c r="G18" s="19"/>
      <c r="H18" s="19"/>
      <c r="I18" s="19"/>
      <c r="J18" s="19"/>
      <c r="K18" s="19"/>
      <c r="L18" s="19"/>
      <c r="M18" s="19"/>
      <c r="N18" s="19"/>
      <c r="O18" s="19"/>
      <c r="P18" s="19"/>
      <c r="Q18" s="19"/>
      <c r="R18" s="19"/>
      <c r="S18" s="19"/>
      <c r="T18" s="19"/>
      <c r="U18" s="19"/>
      <c r="V18" s="19"/>
      <c r="W18" s="19"/>
    </row>
    <row r="19" spans="1:23" ht="15.75" customHeight="1">
      <c r="A19" s="19"/>
      <c r="B19" s="19"/>
      <c r="C19" s="19"/>
      <c r="D19" s="19"/>
      <c r="E19" s="19"/>
      <c r="F19" s="19"/>
      <c r="G19" s="19"/>
      <c r="H19" s="19"/>
      <c r="I19" s="19"/>
      <c r="J19" s="19"/>
      <c r="K19" s="19"/>
      <c r="L19" s="19"/>
      <c r="M19" s="19"/>
      <c r="N19" s="19"/>
      <c r="O19" s="19"/>
      <c r="P19" s="19"/>
      <c r="Q19" s="19"/>
      <c r="R19" s="19"/>
      <c r="S19" s="19"/>
      <c r="T19" s="19"/>
      <c r="U19" s="19"/>
      <c r="V19" s="19"/>
      <c r="W19" s="19"/>
    </row>
    <row r="20" spans="1:23" ht="15.75" customHeight="1">
      <c r="A20" s="19"/>
      <c r="B20" s="19"/>
      <c r="C20" s="19"/>
      <c r="D20" s="19"/>
      <c r="E20" s="19"/>
      <c r="F20" s="19"/>
      <c r="G20" s="19"/>
      <c r="H20" s="19"/>
      <c r="I20" s="19"/>
      <c r="J20" s="19"/>
      <c r="K20" s="19"/>
      <c r="L20" s="19"/>
      <c r="M20" s="19"/>
      <c r="N20" s="19"/>
      <c r="O20" s="19"/>
      <c r="P20" s="19"/>
      <c r="Q20" s="19"/>
      <c r="R20" s="19"/>
      <c r="S20" s="19"/>
      <c r="T20" s="19"/>
      <c r="U20" s="19"/>
      <c r="V20" s="19"/>
      <c r="W20" s="19"/>
    </row>
    <row r="21" spans="1:23" ht="15.75" customHeight="1">
      <c r="A21" s="19"/>
      <c r="B21" s="19"/>
      <c r="C21" s="19"/>
      <c r="D21" s="19"/>
      <c r="E21" s="19"/>
      <c r="F21" s="19"/>
      <c r="G21" s="19"/>
      <c r="H21" s="19"/>
      <c r="I21" s="19"/>
      <c r="J21" s="19"/>
      <c r="K21" s="19"/>
      <c r="L21" s="19"/>
      <c r="M21" s="19"/>
      <c r="N21" s="19"/>
      <c r="O21" s="19"/>
      <c r="P21" s="19"/>
      <c r="Q21" s="19"/>
      <c r="R21" s="19"/>
      <c r="S21" s="19"/>
      <c r="T21" s="19"/>
      <c r="U21" s="19"/>
      <c r="V21" s="19"/>
      <c r="W21" s="19"/>
    </row>
    <row r="22" spans="1:23" ht="15.75" customHeight="1">
      <c r="A22" s="19"/>
      <c r="B22" s="19"/>
      <c r="C22" s="19"/>
      <c r="D22" s="19"/>
      <c r="E22" s="19"/>
      <c r="F22" s="19"/>
      <c r="G22" s="19"/>
      <c r="H22" s="19"/>
      <c r="I22" s="19"/>
      <c r="J22" s="19"/>
      <c r="K22" s="19"/>
      <c r="L22" s="19"/>
      <c r="M22" s="19"/>
      <c r="N22" s="19"/>
      <c r="O22" s="19"/>
      <c r="P22" s="19"/>
      <c r="Q22" s="19"/>
      <c r="R22" s="19"/>
      <c r="S22" s="19"/>
      <c r="T22" s="19"/>
      <c r="U22" s="19"/>
      <c r="V22" s="19"/>
      <c r="W22" s="19"/>
    </row>
    <row r="23" spans="1:23" ht="15.75" customHeight="1">
      <c r="A23" s="19"/>
      <c r="B23" s="19"/>
      <c r="C23" s="19"/>
      <c r="D23" s="19"/>
      <c r="E23" s="19"/>
      <c r="F23" s="19"/>
      <c r="G23" s="19"/>
      <c r="H23" s="19"/>
      <c r="I23" s="19"/>
      <c r="J23" s="19"/>
      <c r="K23" s="19"/>
      <c r="L23" s="19"/>
      <c r="M23" s="19"/>
      <c r="N23" s="19"/>
      <c r="O23" s="19"/>
      <c r="P23" s="19"/>
      <c r="Q23" s="19"/>
      <c r="R23" s="19"/>
      <c r="S23" s="19"/>
      <c r="T23" s="19"/>
      <c r="U23" s="19"/>
      <c r="V23" s="19"/>
      <c r="W23" s="19"/>
    </row>
    <row r="24" spans="1:23" ht="15.75" customHeight="1">
      <c r="A24" s="19"/>
      <c r="B24" s="19"/>
      <c r="C24" s="19"/>
      <c r="D24" s="19"/>
      <c r="E24" s="19"/>
      <c r="F24" s="19"/>
      <c r="G24" s="19"/>
      <c r="H24" s="19"/>
      <c r="I24" s="19"/>
      <c r="J24" s="19"/>
      <c r="K24" s="19"/>
      <c r="L24" s="19"/>
      <c r="M24" s="19"/>
      <c r="N24" s="19"/>
      <c r="O24" s="19"/>
      <c r="P24" s="19"/>
      <c r="Q24" s="19"/>
      <c r="R24" s="19"/>
      <c r="S24" s="19"/>
      <c r="T24" s="19"/>
      <c r="U24" s="19"/>
      <c r="V24" s="19"/>
      <c r="W24" s="19"/>
    </row>
    <row r="25" spans="1:23" ht="15.75" customHeight="1">
      <c r="A25" s="19"/>
      <c r="B25" s="19"/>
      <c r="C25" s="19"/>
      <c r="D25" s="19"/>
      <c r="E25" s="19"/>
      <c r="F25" s="19"/>
      <c r="G25" s="19"/>
      <c r="H25" s="19"/>
      <c r="I25" s="19"/>
      <c r="J25" s="19"/>
      <c r="K25" s="19"/>
      <c r="L25" s="19"/>
      <c r="M25" s="19"/>
      <c r="N25" s="19"/>
      <c r="O25" s="19"/>
      <c r="P25" s="19"/>
      <c r="Q25" s="19"/>
      <c r="R25" s="19"/>
      <c r="S25" s="19"/>
      <c r="T25" s="19"/>
      <c r="U25" s="19"/>
      <c r="V25" s="19"/>
      <c r="W25" s="19"/>
    </row>
    <row r="26" spans="1:23" ht="15.75" customHeight="1">
      <c r="A26" s="19"/>
      <c r="B26" s="19"/>
      <c r="C26" s="19"/>
      <c r="D26" s="19"/>
      <c r="E26" s="19"/>
      <c r="F26" s="19"/>
      <c r="G26" s="19"/>
      <c r="H26" s="19"/>
      <c r="I26" s="19"/>
      <c r="J26" s="19"/>
      <c r="K26" s="19"/>
      <c r="L26" s="19"/>
      <c r="M26" s="19"/>
      <c r="N26" s="19"/>
      <c r="O26" s="19"/>
      <c r="P26" s="19"/>
      <c r="Q26" s="19"/>
      <c r="R26" s="19"/>
      <c r="S26" s="19"/>
      <c r="T26" s="19"/>
      <c r="U26" s="19"/>
      <c r="V26" s="19"/>
      <c r="W26" s="19"/>
    </row>
    <row r="27" spans="1:23" ht="15.75" customHeight="1">
      <c r="A27" s="19"/>
      <c r="B27" s="19"/>
      <c r="C27" s="19"/>
      <c r="D27" s="19"/>
      <c r="E27" s="19"/>
      <c r="F27" s="19"/>
      <c r="G27" s="19"/>
      <c r="H27" s="19"/>
      <c r="I27" s="19"/>
      <c r="J27" s="19"/>
      <c r="K27" s="19"/>
      <c r="L27" s="19"/>
      <c r="M27" s="19"/>
      <c r="N27" s="19"/>
      <c r="O27" s="19"/>
      <c r="P27" s="19"/>
      <c r="Q27" s="19"/>
      <c r="R27" s="19"/>
      <c r="S27" s="19"/>
      <c r="T27" s="19"/>
      <c r="U27" s="19"/>
      <c r="V27" s="19"/>
      <c r="W27" s="19"/>
    </row>
    <row r="28" spans="1:23" ht="15.75" customHeight="1">
      <c r="A28" s="19"/>
      <c r="B28" s="19"/>
      <c r="C28" s="19"/>
      <c r="D28" s="19"/>
      <c r="E28" s="19"/>
      <c r="F28" s="19"/>
      <c r="G28" s="19"/>
      <c r="H28" s="19"/>
      <c r="I28" s="19"/>
      <c r="J28" s="19"/>
      <c r="K28" s="19"/>
      <c r="L28" s="19"/>
      <c r="M28" s="19"/>
      <c r="N28" s="19"/>
      <c r="O28" s="19"/>
      <c r="P28" s="19"/>
      <c r="Q28" s="19"/>
      <c r="R28" s="19"/>
      <c r="S28" s="19"/>
      <c r="T28" s="19"/>
      <c r="U28" s="19"/>
      <c r="V28" s="19"/>
      <c r="W28" s="19"/>
    </row>
    <row r="29" spans="1:23" ht="15.75" customHeight="1">
      <c r="A29" s="19"/>
      <c r="B29" s="19"/>
      <c r="C29" s="19"/>
      <c r="D29" s="19"/>
      <c r="E29" s="19"/>
      <c r="F29" s="19"/>
      <c r="G29" s="19"/>
      <c r="H29" s="19"/>
      <c r="I29" s="19"/>
      <c r="J29" s="19"/>
      <c r="K29" s="19"/>
      <c r="L29" s="19"/>
      <c r="M29" s="19"/>
      <c r="N29" s="19"/>
      <c r="O29" s="19"/>
      <c r="P29" s="19"/>
      <c r="Q29" s="19"/>
      <c r="R29" s="19"/>
      <c r="S29" s="19"/>
      <c r="T29" s="19"/>
      <c r="U29" s="19"/>
      <c r="V29" s="19"/>
      <c r="W29" s="19"/>
    </row>
    <row r="30" spans="1:23" ht="15.75" customHeight="1">
      <c r="A30" s="19"/>
      <c r="B30" s="19"/>
      <c r="C30" s="19"/>
      <c r="D30" s="19"/>
      <c r="E30" s="19"/>
      <c r="F30" s="19"/>
      <c r="G30" s="19"/>
      <c r="H30" s="19"/>
      <c r="I30" s="19"/>
      <c r="J30" s="19"/>
      <c r="K30" s="19"/>
      <c r="L30" s="19"/>
      <c r="M30" s="19"/>
      <c r="N30" s="19"/>
      <c r="O30" s="19"/>
      <c r="P30" s="19"/>
      <c r="Q30" s="19"/>
      <c r="R30" s="19"/>
      <c r="S30" s="19"/>
      <c r="T30" s="19"/>
      <c r="U30" s="19"/>
      <c r="V30" s="19"/>
      <c r="W30" s="19"/>
    </row>
    <row r="31" spans="1:23" ht="15.75" customHeight="1">
      <c r="A31" s="19"/>
      <c r="B31" s="19"/>
      <c r="C31" s="19"/>
      <c r="D31" s="19"/>
      <c r="E31" s="19"/>
      <c r="F31" s="19"/>
      <c r="G31" s="19"/>
      <c r="H31" s="19"/>
      <c r="I31" s="19"/>
      <c r="J31" s="19"/>
      <c r="K31" s="19"/>
      <c r="L31" s="19"/>
      <c r="M31" s="19"/>
      <c r="N31" s="19"/>
      <c r="O31" s="19"/>
      <c r="P31" s="19"/>
      <c r="Q31" s="19"/>
      <c r="R31" s="19"/>
      <c r="S31" s="19"/>
      <c r="T31" s="19"/>
      <c r="U31" s="19"/>
      <c r="V31" s="19"/>
      <c r="W31" s="19"/>
    </row>
    <row r="32" spans="1:23" ht="15.75" customHeight="1">
      <c r="A32" s="19"/>
      <c r="B32" s="279" t="s">
        <v>2067</v>
      </c>
      <c r="C32" s="280"/>
      <c r="D32" s="280"/>
      <c r="E32" s="280"/>
      <c r="F32" s="280"/>
      <c r="G32" s="280"/>
      <c r="H32" s="280"/>
      <c r="I32" s="281"/>
      <c r="J32" s="19"/>
      <c r="K32" s="19"/>
      <c r="L32" s="279" t="s">
        <v>2068</v>
      </c>
      <c r="M32" s="280"/>
      <c r="N32" s="280"/>
      <c r="O32" s="280"/>
      <c r="P32" s="280"/>
      <c r="Q32" s="280"/>
      <c r="R32" s="280"/>
      <c r="S32" s="280"/>
      <c r="T32" s="280"/>
      <c r="U32" s="280"/>
      <c r="V32" s="281"/>
      <c r="W32" s="19"/>
    </row>
    <row r="33" spans="1:23" ht="15.75" customHeight="1">
      <c r="A33" s="19"/>
      <c r="B33" s="282"/>
      <c r="C33" s="268"/>
      <c r="D33" s="268"/>
      <c r="E33" s="268"/>
      <c r="F33" s="268"/>
      <c r="G33" s="268"/>
      <c r="H33" s="268"/>
      <c r="I33" s="283"/>
      <c r="J33" s="19"/>
      <c r="K33" s="19"/>
      <c r="L33" s="282"/>
      <c r="M33" s="268"/>
      <c r="N33" s="268"/>
      <c r="O33" s="268"/>
      <c r="P33" s="268"/>
      <c r="Q33" s="268"/>
      <c r="R33" s="268"/>
      <c r="S33" s="268"/>
      <c r="T33" s="268"/>
      <c r="U33" s="268"/>
      <c r="V33" s="283"/>
      <c r="W33" s="19"/>
    </row>
    <row r="34" spans="1:23" ht="15.75" customHeight="1">
      <c r="A34" s="19"/>
      <c r="B34" s="284"/>
      <c r="C34" s="285"/>
      <c r="D34" s="285"/>
      <c r="E34" s="285"/>
      <c r="F34" s="285"/>
      <c r="G34" s="285"/>
      <c r="H34" s="285"/>
      <c r="I34" s="286"/>
      <c r="J34" s="19"/>
      <c r="K34" s="19"/>
      <c r="L34" s="284"/>
      <c r="M34" s="285"/>
      <c r="N34" s="285"/>
      <c r="O34" s="285"/>
      <c r="P34" s="285"/>
      <c r="Q34" s="285"/>
      <c r="R34" s="285"/>
      <c r="S34" s="285"/>
      <c r="T34" s="285"/>
      <c r="U34" s="285"/>
      <c r="V34" s="286"/>
      <c r="W34" s="19"/>
    </row>
    <row r="35" spans="1:23" ht="15.75" customHeight="1">
      <c r="A35" s="19"/>
      <c r="B35" s="120"/>
      <c r="C35" s="120"/>
      <c r="D35" s="120"/>
      <c r="E35" s="120"/>
      <c r="F35" s="120"/>
      <c r="G35" s="120"/>
      <c r="H35" s="120"/>
      <c r="I35" s="19"/>
      <c r="J35" s="19"/>
      <c r="K35" s="19"/>
      <c r="L35" s="19"/>
      <c r="M35" s="19"/>
      <c r="N35" s="19"/>
      <c r="O35" s="19"/>
      <c r="P35" s="19"/>
      <c r="Q35" s="19"/>
      <c r="R35" s="19"/>
      <c r="S35" s="19"/>
      <c r="T35" s="19"/>
      <c r="U35" s="19"/>
      <c r="V35" s="19"/>
      <c r="W35" s="19"/>
    </row>
    <row r="36" spans="1:23" ht="15.75" customHeight="1">
      <c r="A36" s="19"/>
      <c r="B36" s="19"/>
      <c r="C36" s="19"/>
      <c r="D36" s="19"/>
      <c r="E36" s="19"/>
      <c r="F36" s="19"/>
      <c r="G36" s="19"/>
      <c r="H36" s="19"/>
      <c r="I36" s="19"/>
      <c r="J36" s="19"/>
      <c r="K36" s="19"/>
      <c r="L36" s="19"/>
      <c r="M36" s="19"/>
      <c r="N36" s="19"/>
      <c r="O36" s="19"/>
      <c r="P36" s="19"/>
      <c r="Q36" s="19"/>
      <c r="R36" s="19"/>
      <c r="S36" s="19"/>
      <c r="T36" s="19"/>
      <c r="U36" s="19"/>
      <c r="V36" s="19"/>
      <c r="W36" s="19"/>
    </row>
    <row r="37" spans="1:23" ht="15.75" customHeight="1">
      <c r="A37" s="19"/>
      <c r="B37" s="124" t="s">
        <v>2069</v>
      </c>
      <c r="C37" s="124" t="s">
        <v>2070</v>
      </c>
      <c r="D37" s="124" t="s">
        <v>1841</v>
      </c>
      <c r="E37" s="124" t="s">
        <v>1469</v>
      </c>
      <c r="F37" s="19"/>
      <c r="G37" s="19"/>
      <c r="H37" s="19"/>
      <c r="I37" s="19"/>
      <c r="J37" s="19"/>
      <c r="K37" s="19"/>
      <c r="L37" s="124" t="s">
        <v>2069</v>
      </c>
      <c r="M37" s="124" t="s">
        <v>2070</v>
      </c>
      <c r="N37" s="124" t="s">
        <v>1841</v>
      </c>
      <c r="O37" s="124" t="s">
        <v>1469</v>
      </c>
      <c r="P37" s="19"/>
      <c r="Q37" s="19"/>
      <c r="R37" s="19"/>
      <c r="S37" s="19"/>
      <c r="T37" s="19"/>
      <c r="U37" s="19"/>
      <c r="V37" s="19"/>
      <c r="W37" s="19"/>
    </row>
    <row r="38" spans="1:23" ht="15.75" customHeight="1">
      <c r="A38" s="19"/>
      <c r="B38" s="324" t="s">
        <v>2071</v>
      </c>
      <c r="C38" s="5" t="s">
        <v>657</v>
      </c>
      <c r="D38" s="5">
        <f>COUNTIF(CleanedData!L173:L265,"accuracy")</f>
        <v>16</v>
      </c>
      <c r="E38" s="136" t="str">
        <f ca="1">IFERROR(__xludf.DUMMYFUNCTION("JOIN ("", "", FILTER(CleanedData!K173:K265, CleanedData!L173:L265=""accuracy""))"),"P1, P2, P7, P9, P11, P13, P16, P17, P22, P23, P27, P34, P37, P38, P39, P44")</f>
        <v>P1, P2, P7, P9, P11, P13, P16, P17, P22, P23, P27, P34, P37, P38, P39, P44</v>
      </c>
      <c r="F38" s="19"/>
      <c r="G38" s="19"/>
      <c r="H38" s="19"/>
      <c r="I38" s="19"/>
      <c r="J38" s="19"/>
      <c r="K38" s="19"/>
      <c r="L38" s="324" t="s">
        <v>2072</v>
      </c>
      <c r="M38" s="136" t="s">
        <v>1732</v>
      </c>
      <c r="N38" s="5">
        <f>COUNTIF(CleanedData!O173:O235,"learnability")</f>
        <v>1</v>
      </c>
      <c r="O38" s="136" t="str">
        <f ca="1">IFERROR(__xludf.DUMMYFUNCTION("JOIN ("", "", FILTER(CleanedData!N173:N235, CleanedData!O173:O235=""learnability""))"),"P35")</f>
        <v>P35</v>
      </c>
      <c r="P38" s="19"/>
      <c r="Q38" s="19"/>
      <c r="R38" s="19"/>
      <c r="S38" s="19"/>
      <c r="T38" s="19"/>
      <c r="U38" s="19"/>
      <c r="V38" s="19"/>
      <c r="W38" s="19"/>
    </row>
    <row r="39" spans="1:23" ht="15.75" customHeight="1">
      <c r="A39" s="19"/>
      <c r="B39" s="258"/>
      <c r="C39" s="5" t="s">
        <v>1623</v>
      </c>
      <c r="D39" s="5">
        <f>COUNTIF(CleanedData!L173:L265,"precision")</f>
        <v>7</v>
      </c>
      <c r="E39" s="136" t="str">
        <f ca="1">IFERROR(__xludf.DUMMYFUNCTION("JOIN ("", "", FILTER(CleanedData!K173:K265, CleanedData!L173:L265=""precision""))"),"P1, P4, P9, P13, P22, P27, P44")</f>
        <v>P1, P4, P9, P13, P22, P27, P44</v>
      </c>
      <c r="F39" s="19"/>
      <c r="G39" s="19"/>
      <c r="H39" s="19"/>
      <c r="I39" s="19"/>
      <c r="J39" s="19"/>
      <c r="K39" s="19"/>
      <c r="L39" s="258"/>
      <c r="M39" s="136" t="s">
        <v>1730</v>
      </c>
      <c r="N39" s="5">
        <f>COUNTIF(CleanedData!O173:O235,"desirability")</f>
        <v>1</v>
      </c>
      <c r="O39" s="136" t="str">
        <f ca="1">IFERROR(__xludf.DUMMYFUNCTION("JOIN ("", "", FILTER(CleanedData!N173:N235, CleanedData!O173:O235=""desirability""))"),"P35")</f>
        <v>P35</v>
      </c>
      <c r="P39" s="19"/>
      <c r="Q39" s="19"/>
      <c r="R39" s="19"/>
      <c r="S39" s="19"/>
      <c r="T39" s="19"/>
      <c r="U39" s="19"/>
      <c r="V39" s="19"/>
      <c r="W39" s="19"/>
    </row>
    <row r="40" spans="1:23" ht="15.75" customHeight="1">
      <c r="A40" s="19"/>
      <c r="B40" s="258"/>
      <c r="C40" s="5" t="s">
        <v>387</v>
      </c>
      <c r="D40" s="5">
        <f>COUNTIF(CleanedData!L173:L265,"recall")</f>
        <v>6</v>
      </c>
      <c r="E40" s="136" t="str">
        <f ca="1">IFERROR(__xludf.DUMMYFUNCTION("JOIN ("", "", FILTER(CleanedData!K173:K265, CleanedData!L173:L265=""recall""))"),"P1, P3, P4, P9, P22, P27")</f>
        <v>P1, P3, P4, P9, P22, P27</v>
      </c>
      <c r="F40" s="19"/>
      <c r="G40" s="19"/>
      <c r="H40" s="19"/>
      <c r="I40" s="19"/>
      <c r="J40" s="19"/>
      <c r="K40" s="19"/>
      <c r="L40" s="258"/>
      <c r="M40" s="136" t="s">
        <v>1725</v>
      </c>
      <c r="N40" s="5">
        <f>COUNTIF(CleanedData!O173:O235,"completeness")</f>
        <v>1</v>
      </c>
      <c r="O40" s="136" t="str">
        <f ca="1">IFERROR(__xludf.DUMMYFUNCTION("JOIN ("", "", FILTER(CleanedData!N173:N235, CleanedData!O173:O235=""completeness""))"),"P33")</f>
        <v>P33</v>
      </c>
      <c r="P40" s="19"/>
      <c r="Q40" s="19"/>
      <c r="R40" s="19"/>
      <c r="S40" s="19"/>
      <c r="T40" s="19"/>
      <c r="U40" s="19"/>
      <c r="V40" s="19"/>
      <c r="W40" s="19"/>
    </row>
    <row r="41" spans="1:23" ht="15.75" customHeight="1">
      <c r="A41" s="19"/>
      <c r="B41" s="258"/>
      <c r="C41" s="5" t="s">
        <v>1651</v>
      </c>
      <c r="D41" s="5">
        <f>COUNTIF(CleanedData!L173:L265,"confusion matrix")</f>
        <v>4</v>
      </c>
      <c r="E41" s="136" t="str">
        <f ca="1">IFERROR(__xludf.DUMMYFUNCTION("JOIN ("", "", FILTER(CleanedData!K173:K265, CleanedData!L173:L265=""confusion matrix""))"),"P4, P7, P27, P39")</f>
        <v>P4, P7, P27, P39</v>
      </c>
      <c r="F41" s="19"/>
      <c r="G41" s="19"/>
      <c r="H41" s="19"/>
      <c r="I41" s="19"/>
      <c r="J41" s="19"/>
      <c r="K41" s="19"/>
      <c r="L41" s="258"/>
      <c r="M41" s="136" t="s">
        <v>1722</v>
      </c>
      <c r="N41" s="5">
        <f>COUNTIF(CleanedData!O173:O235,"effectiveness")</f>
        <v>1</v>
      </c>
      <c r="O41" s="136" t="str">
        <f ca="1">IFERROR(__xludf.DUMMYFUNCTION("JOIN ("", "", FILTER(CleanedData!N173:N235, CleanedData!O173:O235=""effectiveness""))"),"P30")</f>
        <v>P30</v>
      </c>
      <c r="P41" s="19"/>
      <c r="Q41" s="19"/>
      <c r="R41" s="19"/>
      <c r="S41" s="19"/>
      <c r="T41" s="19"/>
      <c r="U41" s="19"/>
      <c r="V41" s="19"/>
      <c r="W41" s="19"/>
    </row>
    <row r="42" spans="1:23" ht="15.75" customHeight="1">
      <c r="A42" s="19"/>
      <c r="B42" s="258"/>
      <c r="C42" s="5" t="s">
        <v>1708</v>
      </c>
      <c r="D42" s="5">
        <f>COUNTIF(CleanedData!L173:L265,"area under roc curve")</f>
        <v>1</v>
      </c>
      <c r="E42" s="136" t="str">
        <f ca="1">IFERROR(__xludf.DUMMYFUNCTION("JOIN ("", "", FILTER(CleanedData!K173:K265, CleanedData!L173:L265=""area under ROC curve""))"),"P16")</f>
        <v>P16</v>
      </c>
      <c r="F42" s="19"/>
      <c r="G42" s="19"/>
      <c r="H42" s="19"/>
      <c r="I42" s="19"/>
      <c r="J42" s="19"/>
      <c r="K42" s="19"/>
      <c r="L42" s="258"/>
      <c r="M42" s="136" t="s">
        <v>1700</v>
      </c>
      <c r="N42" s="5">
        <f>COUNTIF(CleanedData!O173:O235,"reduced effort/ increased productivity")</f>
        <v>6</v>
      </c>
      <c r="O42" s="55" t="str">
        <f ca="1">IFERROR(__xludf.DUMMYFUNCTION("JOIN ("", "", FILTER(CleanedData!N173:N235, CleanedData!O173:O235=""reduced effort/ increased productivity""))"),"P25, P30, P31, P37, P38, P41")</f>
        <v>P25, P30, P31, P37, P38, P41</v>
      </c>
      <c r="P42" s="19"/>
      <c r="Q42" s="19"/>
      <c r="R42" s="19"/>
      <c r="S42" s="19"/>
      <c r="T42" s="19"/>
      <c r="U42" s="19"/>
      <c r="V42" s="19"/>
      <c r="W42" s="19"/>
    </row>
    <row r="43" spans="1:23" ht="15.75" customHeight="1">
      <c r="A43" s="19"/>
      <c r="B43" s="258"/>
      <c r="C43" s="5" t="s">
        <v>2073</v>
      </c>
      <c r="D43" s="5">
        <f>COUNTIF(CleanedData!L173:L265,"f1 measure")</f>
        <v>5</v>
      </c>
      <c r="E43" s="136" t="str">
        <f ca="1">IFERROR(__xludf.DUMMYFUNCTION("JOIN ("", "", FILTER(CleanedData!K173:K265, CleanedData!L173:L265=""f1 measure""))"),"P13, P22, P27, P34, P38")</f>
        <v>P13, P22, P27, P34, P38</v>
      </c>
      <c r="F43" s="19"/>
      <c r="G43" s="19"/>
      <c r="H43" s="19"/>
      <c r="I43" s="19"/>
      <c r="J43" s="19"/>
      <c r="K43" s="19"/>
      <c r="L43" s="258"/>
      <c r="M43" s="136" t="s">
        <v>2074</v>
      </c>
      <c r="N43" s="5">
        <f>COUNTIF(CleanedData!O173:O235,"conciseness")</f>
        <v>0</v>
      </c>
      <c r="O43" s="136" t="str">
        <f ca="1">IFERROR(__xludf.DUMMYFUNCTION("JOIN ("", "", FILTER(CleanedData!N173:N235, CleanedData!O173:O235=""conciseness""))"),"#N/A")</f>
        <v>#N/A</v>
      </c>
      <c r="P43" s="19"/>
      <c r="Q43" s="19"/>
      <c r="R43" s="19"/>
      <c r="S43" s="19"/>
      <c r="T43" s="19"/>
      <c r="U43" s="19"/>
      <c r="V43" s="19"/>
      <c r="W43" s="19"/>
    </row>
    <row r="44" spans="1:23" ht="15.75" customHeight="1">
      <c r="A44" s="19"/>
      <c r="B44" s="254"/>
      <c r="C44" s="5" t="s">
        <v>1617</v>
      </c>
      <c r="D44" s="5">
        <f>COUNTIF(CleanedData!L173:L265,"range")</f>
        <v>1</v>
      </c>
      <c r="E44" s="136" t="str">
        <f ca="1">IFERROR(__xludf.DUMMYFUNCTION("JOIN ("", "", FILTER(CleanedData!K173:K265, CleanedData!L173:L265=""range""))"),"P1")</f>
        <v>P1</v>
      </c>
      <c r="F44" s="19"/>
      <c r="G44" s="19"/>
      <c r="H44" s="19"/>
      <c r="I44" s="19"/>
      <c r="J44" s="19"/>
      <c r="K44" s="19"/>
      <c r="L44" s="258"/>
      <c r="M44" s="136" t="s">
        <v>1638</v>
      </c>
      <c r="N44" s="5">
        <f>COUNTIF(CleanedData!O173:O235,"correctness")</f>
        <v>1</v>
      </c>
      <c r="O44" s="136" t="str">
        <f ca="1">IFERROR(__xludf.DUMMYFUNCTION("JOIN ("", "", FILTER(CleanedData!N173:N235, CleanedData!O173:O235=""correctness""))"),"P4")</f>
        <v>P4</v>
      </c>
      <c r="P44" s="19"/>
      <c r="Q44" s="19"/>
      <c r="R44" s="19"/>
      <c r="S44" s="19"/>
      <c r="T44" s="19"/>
      <c r="U44" s="19"/>
      <c r="V44" s="19"/>
      <c r="W44" s="19"/>
    </row>
    <row r="45" spans="1:23" ht="15.75" customHeight="1">
      <c r="A45" s="19"/>
      <c r="B45" s="324" t="s">
        <v>2075</v>
      </c>
      <c r="C45" s="5" t="s">
        <v>1755</v>
      </c>
      <c r="D45" s="5">
        <f>COUNTIF(CleanedData!L173:L265,"mean relative error")</f>
        <v>1</v>
      </c>
      <c r="E45" s="136" t="str">
        <f ca="1">IFERROR(__xludf.DUMMYFUNCTION("JOIN ("", "", FILTER(CleanedData!K173:K265, CleanedData!L173:L265=""mean relative error""))"),"P37")</f>
        <v>P37</v>
      </c>
      <c r="F45" s="19"/>
      <c r="G45" s="19"/>
      <c r="H45" s="19"/>
      <c r="I45" s="19"/>
      <c r="J45" s="19"/>
      <c r="K45" s="19"/>
      <c r="L45" s="258"/>
      <c r="M45" s="136" t="s">
        <v>1652</v>
      </c>
      <c r="N45" s="5">
        <f>COUNTIF(CleanedData!O173:O235,"expressiveness")</f>
        <v>1</v>
      </c>
      <c r="O45" s="136" t="str">
        <f ca="1">IFERROR(__xludf.DUMMYFUNCTION("JOIN ("", "", FILTER(CleanedData!N173:N235, CleanedData!O173:O235=""expressiveness""))"),"P10")</f>
        <v>P10</v>
      </c>
      <c r="P45" s="19"/>
      <c r="Q45" s="19"/>
      <c r="R45" s="19"/>
      <c r="S45" s="19"/>
      <c r="T45" s="19"/>
      <c r="U45" s="19"/>
      <c r="V45" s="19"/>
      <c r="W45" s="19"/>
    </row>
    <row r="46" spans="1:23" ht="15.75" customHeight="1">
      <c r="A46" s="19"/>
      <c r="B46" s="258"/>
      <c r="C46" s="5" t="s">
        <v>2076</v>
      </c>
      <c r="D46" s="5">
        <f>COUNTIF(CleanedData!L173:L265,"prediction error")</f>
        <v>1</v>
      </c>
      <c r="E46" s="136" t="str">
        <f ca="1">IFERROR(__xludf.DUMMYFUNCTION("JOIN ("", "", FILTER(CleanedData!K173:K265, CleanedData!L173:L265=""prediction error""))"),"P31")</f>
        <v>P31</v>
      </c>
      <c r="F46" s="19"/>
      <c r="G46" s="19"/>
      <c r="H46" s="19"/>
      <c r="I46" s="19"/>
      <c r="J46" s="19"/>
      <c r="K46" s="19"/>
      <c r="L46" s="258"/>
      <c r="M46" s="136" t="s">
        <v>924</v>
      </c>
      <c r="N46" s="5">
        <f>COUNTIF(CleanedData!O173:O235,"usability")</f>
        <v>3</v>
      </c>
      <c r="O46" s="136" t="str">
        <f ca="1">IFERROR(__xludf.DUMMYFUNCTION("JOIN ("", "", FILTER(CleanedData!N173:N235, CleanedData!O173:O235=""usability""))"),"P10, P24, P35")</f>
        <v>P10, P24, P35</v>
      </c>
      <c r="P46" s="19"/>
      <c r="Q46" s="19"/>
      <c r="R46" s="19"/>
      <c r="S46" s="19"/>
      <c r="T46" s="19"/>
      <c r="U46" s="19"/>
      <c r="V46" s="19"/>
      <c r="W46" s="19"/>
    </row>
    <row r="47" spans="1:23" ht="15.75" customHeight="1">
      <c r="A47" s="19"/>
      <c r="B47" s="258"/>
      <c r="C47" s="207" t="s">
        <v>1672</v>
      </c>
      <c r="D47" s="5">
        <f>COUNTIF(CleanedData!L173:L265,"mean absolute error")</f>
        <v>2</v>
      </c>
      <c r="E47" s="136" t="str">
        <f ca="1">IFERROR(__xludf.DUMMYFUNCTION("JOIN ("", "", FILTER(CleanedData!K173:K265, CleanedData!L173:L265=""mean absolute error""))"),"P12, P31")</f>
        <v>P12, P31</v>
      </c>
      <c r="F47" s="19"/>
      <c r="G47" s="19"/>
      <c r="H47" s="19"/>
      <c r="I47" s="19"/>
      <c r="J47" s="19"/>
      <c r="K47" s="19"/>
      <c r="L47" s="258"/>
      <c r="M47" s="136" t="s">
        <v>1653</v>
      </c>
      <c r="N47" s="5">
        <f>COUNTIF(CleanedData!O173:O235,"usefulness")</f>
        <v>1</v>
      </c>
      <c r="O47" s="136" t="str">
        <f ca="1">IFERROR(__xludf.DUMMYFUNCTION("JOIN ("", "", FILTER(CleanedData!N173:N235, CleanedData!O173:O235=""usefulness""))"),"P10")</f>
        <v>P10</v>
      </c>
      <c r="P47" s="19"/>
      <c r="Q47" s="19"/>
      <c r="R47" s="19"/>
      <c r="S47" s="19"/>
      <c r="T47" s="19"/>
      <c r="U47" s="19"/>
      <c r="V47" s="19"/>
      <c r="W47" s="19"/>
    </row>
    <row r="48" spans="1:23" ht="15.75" customHeight="1">
      <c r="A48" s="19"/>
      <c r="B48" s="258"/>
      <c r="C48" s="5" t="s">
        <v>1636</v>
      </c>
      <c r="D48" s="5">
        <f>COUNTIF(CleanedData!L173:L265,"loss")</f>
        <v>3</v>
      </c>
      <c r="E48" s="136" t="str">
        <f ca="1">IFERROR(__xludf.DUMMYFUNCTION("JOIN ("", "", FILTER(CleanedData!K173:K265, CleanedData!L173:L265=""loss""))"),"P1, P13, P39")</f>
        <v>P1, P13, P39</v>
      </c>
      <c r="F48" s="19"/>
      <c r="G48" s="19"/>
      <c r="H48" s="19"/>
      <c r="I48" s="19"/>
      <c r="J48" s="19"/>
      <c r="K48" s="19"/>
      <c r="L48" s="258"/>
      <c r="M48" s="136" t="s">
        <v>1657</v>
      </c>
      <c r="N48" s="5">
        <f>COUNTIF(CleanedData!O173:O235,"reduced complexity")</f>
        <v>1</v>
      </c>
      <c r="O48" s="136" t="str">
        <f ca="1">IFERROR(__xludf.DUMMYFUNCTION("JOIN ("", "", FILTER(CleanedData!N173:N235, CleanedData!O173:O235=""reduced complexity""))"),"P10")</f>
        <v>P10</v>
      </c>
      <c r="P48" s="19"/>
      <c r="Q48" s="19"/>
      <c r="R48" s="19"/>
      <c r="S48" s="19"/>
      <c r="T48" s="19"/>
      <c r="U48" s="19"/>
      <c r="V48" s="19"/>
      <c r="W48" s="19"/>
    </row>
    <row r="49" spans="1:23" ht="15.75" customHeight="1">
      <c r="A49" s="19"/>
      <c r="B49" s="258"/>
      <c r="C49" s="5" t="s">
        <v>1765</v>
      </c>
      <c r="D49" s="5">
        <f>COUNTIF(CleanedData!L173:L265,"relative absolute error")</f>
        <v>1</v>
      </c>
      <c r="E49" s="136" t="str">
        <f ca="1">IFERROR(__xludf.DUMMYFUNCTION("JOIN ("", "", FILTER(CleanedData!K173:K265, CleanedData!L173:L265=""relative absolute error""))"),"P45")</f>
        <v>P45</v>
      </c>
      <c r="F49" s="19"/>
      <c r="G49" s="19"/>
      <c r="H49" s="19"/>
      <c r="I49" s="19"/>
      <c r="J49" s="19"/>
      <c r="K49" s="19"/>
      <c r="L49" s="258"/>
      <c r="M49" s="136" t="s">
        <v>1669</v>
      </c>
      <c r="N49" s="5">
        <f>COUNTIF(CleanedData!O173:O235,"generated code quality")</f>
        <v>1</v>
      </c>
      <c r="O49" s="136" t="str">
        <f ca="1">IFERROR(__xludf.DUMMYFUNCTION("JOIN ("", "", FILTER(CleanedData!N173:N235, CleanedData!O173:O235=""generated code quality""))"),"P17")</f>
        <v>P17</v>
      </c>
      <c r="P49" s="19"/>
      <c r="Q49" s="19"/>
      <c r="R49" s="19"/>
      <c r="S49" s="19"/>
      <c r="T49" s="19"/>
      <c r="U49" s="19"/>
      <c r="V49" s="19"/>
      <c r="W49" s="19"/>
    </row>
    <row r="50" spans="1:23" ht="15.75" customHeight="1">
      <c r="A50" s="19"/>
      <c r="B50" s="258"/>
      <c r="C50" s="5" t="s">
        <v>2077</v>
      </c>
      <c r="D50" s="5">
        <f>COUNTIF(CleanedData!L173:L265,"root mean square error")</f>
        <v>2</v>
      </c>
      <c r="E50" s="136" t="str">
        <f ca="1">IFERROR(__xludf.DUMMYFUNCTION("JOIN ("", "", FILTER(CleanedData!K173:K265, CleanedData!L173:L265=""root mean square error""))"),"P31, P45")</f>
        <v>P31, P45</v>
      </c>
      <c r="F50" s="19"/>
      <c r="G50" s="19"/>
      <c r="H50" s="19"/>
      <c r="I50" s="19"/>
      <c r="J50" s="19"/>
      <c r="K50" s="19"/>
      <c r="L50" s="258"/>
      <c r="M50" s="136" t="s">
        <v>1673</v>
      </c>
      <c r="N50" s="5">
        <f>COUNTIF(CleanedData!O173:O235,"flexibility")</f>
        <v>1</v>
      </c>
      <c r="O50" s="136" t="str">
        <f ca="1">IFERROR(__xludf.DUMMYFUNCTION("JOIN ("", "", FILTER(CleanedData!N173:N235, CleanedData!O173:O235=""flexibility""))"),"P19")</f>
        <v>P19</v>
      </c>
      <c r="P50" s="19"/>
      <c r="Q50" s="19"/>
      <c r="R50" s="19"/>
      <c r="S50" s="19"/>
      <c r="T50" s="19"/>
      <c r="U50" s="19"/>
      <c r="V50" s="19"/>
      <c r="W50" s="19"/>
    </row>
    <row r="51" spans="1:23" ht="15.75" customHeight="1">
      <c r="A51" s="19"/>
      <c r="B51" s="254"/>
      <c r="C51" s="5" t="s">
        <v>1691</v>
      </c>
      <c r="D51" s="5">
        <f>COUNTIF(CleanedData!L164:L256,"r2 score")</f>
        <v>1</v>
      </c>
      <c r="E51" s="136" t="str">
        <f ca="1">IFERROR(__xludf.DUMMYFUNCTION("JOIN ("", "", FILTER(CleanedData!K173:K265, CleanedData!L173:L265=""r2 score""))"),"P13")</f>
        <v>P13</v>
      </c>
      <c r="F51" s="19"/>
      <c r="G51" s="19"/>
      <c r="H51" s="19"/>
      <c r="I51" s="19"/>
      <c r="J51" s="19"/>
      <c r="K51" s="19"/>
      <c r="L51" s="254"/>
      <c r="M51" s="136" t="s">
        <v>1347</v>
      </c>
      <c r="N51" s="5">
        <f>COUNTIF(CleanedData!O173:O235,"scalability")</f>
        <v>2</v>
      </c>
      <c r="O51" s="136" t="str">
        <f ca="1">IFERROR(__xludf.DUMMYFUNCTION("JOIN ("", "", FILTER(CleanedData!N173:N235, CleanedData!O173:O235=""scalability""))"),"P19, P44")</f>
        <v>P19, P44</v>
      </c>
      <c r="P51" s="19"/>
      <c r="Q51" s="19"/>
      <c r="R51" s="19"/>
      <c r="S51" s="19"/>
      <c r="T51" s="19"/>
      <c r="U51" s="19"/>
      <c r="V51" s="19"/>
      <c r="W51" s="19"/>
    </row>
    <row r="52" spans="1:23" ht="15.75" customHeight="1">
      <c r="A52" s="19"/>
      <c r="B52" s="324" t="s">
        <v>2078</v>
      </c>
      <c r="C52" s="5" t="s">
        <v>1666</v>
      </c>
      <c r="D52" s="208">
        <f>COUNTIF(CleanedData!L173:L265,"training time")</f>
        <v>6</v>
      </c>
      <c r="E52" s="136" t="str">
        <f ca="1">IFERROR(__xludf.DUMMYFUNCTION("JOIN ("", "", FILTER(CleanedData!K173:K265, CleanedData!L173:L265=""training time""))"),"P9, P12, P22, P37, P38, P44")</f>
        <v>P9, P12, P22, P37, P38, P44</v>
      </c>
      <c r="F52" s="19"/>
      <c r="G52" s="19"/>
      <c r="H52" s="19"/>
      <c r="I52" s="19"/>
      <c r="J52" s="19"/>
      <c r="K52" s="19"/>
      <c r="L52" s="327" t="s">
        <v>2079</v>
      </c>
      <c r="M52" s="136" t="s">
        <v>1624</v>
      </c>
      <c r="N52" s="5">
        <f>COUNTIF(CleanedData!O173:O235,"generation time")</f>
        <v>5</v>
      </c>
      <c r="O52" s="136" t="str">
        <f ca="1">IFERROR(__xludf.DUMMYFUNCTION("JOIN ("", "", FILTER(CleanedData!N173:N235, CleanedData!O173:O235=""generation time""))"),"P2, P25, P37, P38, P45")</f>
        <v>P2, P25, P37, P38, P45</v>
      </c>
      <c r="P52" s="19"/>
      <c r="Q52" s="19"/>
      <c r="R52" s="19"/>
      <c r="S52" s="19"/>
      <c r="T52" s="19"/>
      <c r="U52" s="19"/>
      <c r="V52" s="19"/>
      <c r="W52" s="19"/>
    </row>
    <row r="53" spans="1:23" ht="15.75" customHeight="1">
      <c r="A53" s="19"/>
      <c r="B53" s="258"/>
      <c r="C53" s="5" t="s">
        <v>1631</v>
      </c>
      <c r="D53" s="5">
        <f>COUNTIF(CleanedData!L173:L265,"execution time")</f>
        <v>8</v>
      </c>
      <c r="E53" s="136" t="str">
        <f ca="1">IFERROR(__xludf.DUMMYFUNCTION("JOIN ("", "", FILTER(CleanedData!K173:K265, CleanedData!L173:L265=""execution time""))"),"P13, P19, P23, P25, P41, P42, P44, P46")</f>
        <v>P13, P19, P23, P25, P41, P42, P44, P46</v>
      </c>
      <c r="F53" s="19"/>
      <c r="G53" s="19"/>
      <c r="H53" s="19"/>
      <c r="I53" s="19"/>
      <c r="J53" s="19"/>
      <c r="K53" s="19"/>
      <c r="L53" s="258"/>
      <c r="M53" s="136" t="s">
        <v>1631</v>
      </c>
      <c r="N53" s="5">
        <f>COUNTIF(CleanedData!O173:O235,"execution time")</f>
        <v>1</v>
      </c>
      <c r="O53" s="136" t="str">
        <f ca="1">IFERROR(__xludf.DUMMYFUNCTION("JOIN ("", "", FILTER(CleanedData!N173:N235, CleanedData!O173:O235=""execution time""))"),"P2")</f>
        <v>P2</v>
      </c>
      <c r="P53" s="19"/>
      <c r="Q53" s="19"/>
      <c r="R53" s="19"/>
      <c r="S53" s="19"/>
      <c r="T53" s="19"/>
      <c r="U53" s="19"/>
      <c r="V53" s="19"/>
      <c r="W53" s="19"/>
    </row>
    <row r="54" spans="1:23" ht="15.75" customHeight="1">
      <c r="A54" s="19"/>
      <c r="B54" s="258"/>
      <c r="C54" s="5" t="s">
        <v>1719</v>
      </c>
      <c r="D54" s="5">
        <f>COUNTIF(CleanedData!L173:L265,"resource usage")</f>
        <v>4</v>
      </c>
      <c r="E54" s="136" t="str">
        <f ca="1">IFERROR(__xludf.DUMMYFUNCTION("JOIN ("", "", FILTER(CleanedData!K173:K265, CleanedData!L173:L265=""resource usage""))"),"P19, P25, P42, P44")</f>
        <v>P19, P25, P42, P44</v>
      </c>
      <c r="F54" s="19"/>
      <c r="G54" s="19"/>
      <c r="H54" s="19"/>
      <c r="I54" s="19"/>
      <c r="J54" s="19"/>
      <c r="K54" s="19"/>
      <c r="L54" s="258"/>
      <c r="M54" s="136" t="s">
        <v>1697</v>
      </c>
      <c r="N54" s="5">
        <f>COUNTIF(CleanedData!O173:O235,"modeling time")</f>
        <v>2</v>
      </c>
      <c r="O54" s="136" t="str">
        <f ca="1">IFERROR(__xludf.DUMMYFUNCTION("JOIN ("", "", FILTER(CleanedData!N173:N235, CleanedData!O173:O235=""modeling time""))"),"P25, P45")</f>
        <v>P25, P45</v>
      </c>
      <c r="P54" s="19"/>
      <c r="Q54" s="19"/>
      <c r="R54" s="19"/>
      <c r="S54" s="19"/>
      <c r="T54" s="19"/>
      <c r="U54" s="19"/>
      <c r="V54" s="19"/>
      <c r="W54" s="19"/>
    </row>
    <row r="55" spans="1:23" ht="15.75" customHeight="1">
      <c r="A55" s="19"/>
      <c r="B55" s="258"/>
      <c r="C55" s="5" t="s">
        <v>1696</v>
      </c>
      <c r="D55" s="5">
        <f>COUNTIF(CleanedData!L173:L265,"execution latency")</f>
        <v>1</v>
      </c>
      <c r="E55" s="136" t="str">
        <f ca="1">IFERROR(__xludf.DUMMYFUNCTION("JOIN ("", "", FILTER(CleanedData!K173:K265, CleanedData!L173:L265=""execution latency""))"),"P13")</f>
        <v>P13</v>
      </c>
      <c r="F55" s="19"/>
      <c r="G55" s="19"/>
      <c r="H55" s="19"/>
      <c r="I55" s="19"/>
      <c r="J55" s="19"/>
      <c r="K55" s="19"/>
      <c r="L55" s="254"/>
      <c r="M55" s="136" t="s">
        <v>679</v>
      </c>
      <c r="N55" s="5">
        <f>COUNTIF(CleanedData!O173:O235,"re-training time reduction")</f>
        <v>1</v>
      </c>
      <c r="O55" s="136" t="str">
        <f ca="1">IFERROR(__xludf.DUMMYFUNCTION("JOIN ("", "", FILTER(CleanedData!N173:N235, CleanedData!O173:O235=""re-training time reduction""))"),"P12")</f>
        <v>P12</v>
      </c>
      <c r="P55" s="19"/>
      <c r="Q55" s="19"/>
      <c r="R55" s="19"/>
      <c r="S55" s="19"/>
      <c r="T55" s="19"/>
      <c r="U55" s="19"/>
      <c r="V55" s="19"/>
      <c r="W55" s="19"/>
    </row>
    <row r="56" spans="1:23" ht="15.75" customHeight="1">
      <c r="A56" s="19"/>
      <c r="B56" s="258"/>
      <c r="C56" s="5" t="s">
        <v>1764</v>
      </c>
      <c r="D56" s="5">
        <f>COUNTIF(CleanedData!L173:L265,"inference time")</f>
        <v>1</v>
      </c>
      <c r="E56" s="136" t="str">
        <f ca="1">IFERROR(__xludf.DUMMYFUNCTION("JOIN ("", "", FILTER(CleanedData!K173:K265, CleanedData!L173:L265=""inference time""))"),"P44")</f>
        <v>P44</v>
      </c>
      <c r="F56" s="19"/>
      <c r="G56" s="19"/>
      <c r="H56" s="19"/>
      <c r="I56" s="19"/>
      <c r="J56" s="19"/>
      <c r="K56" s="19"/>
      <c r="L56" s="324" t="s">
        <v>2080</v>
      </c>
      <c r="M56" s="136" t="s">
        <v>1618</v>
      </c>
      <c r="N56" s="5">
        <f>COUNTIF(CleanedData!O173:O235,"lines of code")</f>
        <v>4</v>
      </c>
      <c r="O56" s="136" t="str">
        <f ca="1">IFERROR(__xludf.DUMMYFUNCTION("JOIN ("", "", FILTER(CleanedData!N173:N235, CleanedData!O173:O235=""lines of code""))"),"P2, P28, P30, P40")</f>
        <v>P2, P28, P30, P40</v>
      </c>
      <c r="P56" s="19"/>
      <c r="Q56" s="19"/>
      <c r="R56" s="19"/>
      <c r="S56" s="19"/>
      <c r="T56" s="19"/>
      <c r="U56" s="19"/>
      <c r="V56" s="19"/>
      <c r="W56" s="19"/>
    </row>
    <row r="57" spans="1:23" ht="15.75" customHeight="1">
      <c r="A57" s="19"/>
      <c r="B57" s="324" t="s">
        <v>2081</v>
      </c>
      <c r="C57" s="5" t="s">
        <v>1641</v>
      </c>
      <c r="D57" s="5">
        <f>COUNTIF(CleanedData!L173:L265,"mean difference")</f>
        <v>1</v>
      </c>
      <c r="E57" s="136" t="str">
        <f ca="1">IFERROR(__xludf.DUMMYFUNCTION("JOIN ("", "", FILTER(CleanedData!K173:K265, CleanedData!L173:L265=""mean difference""))"),"P2")</f>
        <v>P2</v>
      </c>
      <c r="F57" s="19"/>
      <c r="G57" s="19"/>
      <c r="H57" s="19"/>
      <c r="I57" s="19"/>
      <c r="J57" s="19"/>
      <c r="K57" s="19"/>
      <c r="L57" s="258"/>
      <c r="M57" s="136" t="s">
        <v>1711</v>
      </c>
      <c r="N57" s="5">
        <f>COUNTIF(CleanedData!O173:O235,"number of words")</f>
        <v>1</v>
      </c>
      <c r="O57" s="136" t="str">
        <f ca="1">IFERROR(__xludf.DUMMYFUNCTION("JOIN ("", "", FILTER(CleanedData!N173:N235, CleanedData!O173:O235=""number of words""))"),"P28")</f>
        <v>P28</v>
      </c>
      <c r="P57" s="19"/>
      <c r="Q57" s="19"/>
      <c r="R57" s="19"/>
      <c r="S57" s="19"/>
      <c r="T57" s="19"/>
      <c r="U57" s="19"/>
      <c r="V57" s="19"/>
      <c r="W57" s="19"/>
    </row>
    <row r="58" spans="1:23" ht="15.75" customHeight="1">
      <c r="A58" s="19"/>
      <c r="B58" s="258"/>
      <c r="C58" s="5" t="s">
        <v>1642</v>
      </c>
      <c r="D58" s="5">
        <f>COUNTIF(CleanedData!L173:L265,"average odds difference")</f>
        <v>1</v>
      </c>
      <c r="E58" s="136" t="str">
        <f ca="1">IFERROR(__xludf.DUMMYFUNCTION("JOIN ("", "", FILTER(CleanedData!K173:K265, CleanedData!L173:L265=""average odds difference""))"),"P2")</f>
        <v>P2</v>
      </c>
      <c r="F58" s="19"/>
      <c r="G58" s="19"/>
      <c r="H58" s="19"/>
      <c r="I58" s="19"/>
      <c r="J58" s="19"/>
      <c r="K58" s="19"/>
      <c r="L58" s="258"/>
      <c r="M58" s="136" t="s">
        <v>1714</v>
      </c>
      <c r="N58" s="5">
        <f>COUNTIF(CleanedData!O173:O235,"number of characters")</f>
        <v>1</v>
      </c>
      <c r="O58" s="136" t="str">
        <f ca="1">IFERROR(__xludf.DUMMYFUNCTION("JOIN ("", "", FILTER(CleanedData!N173:N235, CleanedData!O173:O235=""number of characters""))"),"P28")</f>
        <v>P28</v>
      </c>
      <c r="P58" s="19"/>
      <c r="Q58" s="19"/>
      <c r="R58" s="19"/>
      <c r="S58" s="19"/>
      <c r="T58" s="19"/>
      <c r="U58" s="19"/>
      <c r="V58" s="19"/>
      <c r="W58" s="19"/>
    </row>
    <row r="59" spans="1:23" ht="30">
      <c r="A59" s="19"/>
      <c r="B59" s="324" t="s">
        <v>2082</v>
      </c>
      <c r="C59" s="5" t="s">
        <v>325</v>
      </c>
      <c r="D59" s="5">
        <f>COUNTIF(CleanedData!L173:L265,"not mentioned")</f>
        <v>10</v>
      </c>
      <c r="E59" s="136" t="str">
        <f ca="1">IFERROR(__xludf.DUMMYFUNCTION("JOIN ("", "", FILTER(CleanedData!K173:K265, CleanedData!L173:L265=""not mentioned""))"),"P14, P15, P20, P24, P29, P30, P33, P35, P36, P40")</f>
        <v>P14, P15, P20, P24, P29, P30, P33, P35, P36, P40</v>
      </c>
      <c r="F59" s="19"/>
      <c r="G59" s="19"/>
      <c r="H59" s="19"/>
      <c r="I59" s="19"/>
      <c r="J59" s="19"/>
      <c r="K59" s="19"/>
      <c r="L59" s="254"/>
      <c r="M59" s="55" t="s">
        <v>1667</v>
      </c>
      <c r="N59" s="5">
        <f>COUNTIF(CleanedData!O173:O235,"number of generated pipelines")</f>
        <v>1</v>
      </c>
      <c r="O59" s="136" t="str">
        <f ca="1">IFERROR(__xludf.DUMMYFUNCTION("JOIN ("", "", FILTER(CleanedData!N173:N235, CleanedData!O173:O235=""number of generated pipelines""))"),"P16")</f>
        <v>P16</v>
      </c>
      <c r="P59" s="19"/>
      <c r="Q59" s="19"/>
      <c r="R59" s="19"/>
      <c r="S59" s="19"/>
      <c r="T59" s="19"/>
      <c r="U59" s="19"/>
      <c r="V59" s="19"/>
      <c r="W59" s="19"/>
    </row>
    <row r="60" spans="1:23" ht="90">
      <c r="A60" s="19"/>
      <c r="B60" s="254"/>
      <c r="C60" s="5" t="s">
        <v>386</v>
      </c>
      <c r="D60" s="5">
        <f>COUNTIF(CleanedData!L173:L265,"N/A")</f>
        <v>9</v>
      </c>
      <c r="E60" s="209" t="str">
        <f ca="1">IFERROR(__xludf.DUMMYFUNCTION("JOIN ("", "", FILTER(CleanedData!K173:K265, CleanedData!L173:L265=""n/a""))"),"P5, P6, P8, P10, P18, P21, P26, P32, P43")</f>
        <v>P5, P6, P8, P10, P18, P21, P26, P32, P43</v>
      </c>
      <c r="F60" s="325" t="s">
        <v>2083</v>
      </c>
      <c r="G60" s="268"/>
      <c r="H60" s="268"/>
      <c r="I60" s="268"/>
      <c r="J60" s="268"/>
      <c r="K60" s="268"/>
      <c r="L60" s="324" t="s">
        <v>2084</v>
      </c>
      <c r="M60" s="136" t="s">
        <v>1226</v>
      </c>
      <c r="N60" s="5">
        <f>COUNTIF(CleanedData!O173:O235,"not mentioned")</f>
        <v>18</v>
      </c>
      <c r="O60" s="136" t="str">
        <f ca="1">IFERROR(__xludf.DUMMYFUNCTION("JOIN ("", "", FILTER(CleanedData!N173:N235, CleanedData!O173:O235=""not mentioned""))"),"P1, P3, P7, P9, P11, P13, P14, P15, P20, P22, P23, P27, P29, P34, P36, P39, P42, P46")</f>
        <v>P1, P3, P7, P9, P11, P13, P14, P15, P20, P22, P23, P27, P29, P34, P36, P39, P42, P46</v>
      </c>
      <c r="P60" s="326" t="s">
        <v>2085</v>
      </c>
      <c r="Q60" s="268"/>
      <c r="R60" s="268"/>
      <c r="S60" s="268"/>
      <c r="T60" s="268"/>
      <c r="U60" s="268"/>
      <c r="V60" s="268"/>
      <c r="W60" s="19"/>
    </row>
    <row r="61" spans="1:23" ht="30">
      <c r="A61" s="19"/>
      <c r="B61" s="153"/>
      <c r="C61" s="153"/>
      <c r="D61" s="19"/>
      <c r="E61" s="146"/>
      <c r="F61" s="210"/>
      <c r="G61" s="210"/>
      <c r="H61" s="210"/>
      <c r="I61" s="210"/>
      <c r="J61" s="210"/>
      <c r="K61" s="210"/>
      <c r="L61" s="254"/>
      <c r="M61" s="136" t="s">
        <v>386</v>
      </c>
      <c r="N61" s="5">
        <f>COUNTIF(CleanedData!O173:O235,"N/A")</f>
        <v>8</v>
      </c>
      <c r="O61" s="136" t="str">
        <f ca="1">IFERROR(__xludf.DUMMYFUNCTION("JOIN ("", "", FILTER(CleanedData!N173:N235, CleanedData!O173:O235=""N/A""))"),"P5, P6, P8, P18, P21, P26, P32, P43")</f>
        <v>P5, P6, P8, P18, P21, P26, P32, P43</v>
      </c>
      <c r="P61" s="210"/>
      <c r="Q61" s="210"/>
      <c r="R61" s="210"/>
      <c r="S61" s="210"/>
      <c r="T61" s="210"/>
      <c r="U61" s="210"/>
      <c r="V61" s="210"/>
      <c r="W61" s="19"/>
    </row>
    <row r="62" spans="1:23" ht="14">
      <c r="A62" s="19"/>
      <c r="B62" s="19"/>
      <c r="C62" s="19"/>
      <c r="D62" s="19"/>
      <c r="E62" s="19"/>
      <c r="F62" s="210"/>
      <c r="G62" s="210"/>
      <c r="H62" s="210"/>
      <c r="I62" s="210"/>
      <c r="J62" s="210"/>
      <c r="K62" s="210"/>
      <c r="L62" s="19"/>
      <c r="M62" s="19"/>
      <c r="N62" s="19"/>
      <c r="O62" s="19"/>
      <c r="P62" s="19"/>
      <c r="Q62" s="19"/>
      <c r="R62" s="19"/>
      <c r="S62" s="19"/>
      <c r="T62" s="19"/>
      <c r="U62" s="19"/>
      <c r="V62" s="19"/>
      <c r="W62" s="19"/>
    </row>
    <row r="63" spans="1:23" ht="14">
      <c r="A63" s="19"/>
      <c r="B63" s="19"/>
      <c r="C63" s="19"/>
      <c r="D63" s="19"/>
      <c r="E63" s="19"/>
      <c r="F63" s="19"/>
      <c r="G63" s="19"/>
      <c r="H63" s="19"/>
      <c r="I63" s="19"/>
      <c r="J63" s="19"/>
      <c r="K63" s="19"/>
      <c r="L63" s="19"/>
      <c r="M63" s="19"/>
      <c r="N63" s="19"/>
      <c r="O63" s="19"/>
      <c r="P63" s="19"/>
      <c r="Q63" s="19"/>
      <c r="R63" s="19"/>
      <c r="S63" s="19"/>
      <c r="T63" s="19"/>
      <c r="U63" s="19"/>
      <c r="V63" s="19"/>
      <c r="W63" s="19"/>
    </row>
    <row r="64" spans="1:23" ht="14">
      <c r="A64" s="19"/>
      <c r="B64" s="19"/>
      <c r="C64" s="19"/>
      <c r="D64" s="19"/>
      <c r="E64" s="19"/>
      <c r="F64" s="19"/>
      <c r="G64" s="19"/>
      <c r="H64" s="19"/>
      <c r="I64" s="301" t="s">
        <v>2086</v>
      </c>
      <c r="J64" s="280"/>
      <c r="K64" s="281"/>
      <c r="L64" s="120"/>
      <c r="M64" s="301" t="s">
        <v>2087</v>
      </c>
      <c r="N64" s="281"/>
      <c r="O64" s="154"/>
      <c r="P64" s="301" t="s">
        <v>2088</v>
      </c>
      <c r="Q64" s="280"/>
      <c r="R64" s="280"/>
      <c r="S64" s="281"/>
      <c r="T64" s="19"/>
      <c r="U64" s="19"/>
      <c r="V64" s="19"/>
      <c r="W64" s="19"/>
    </row>
    <row r="65" spans="1:23" ht="14">
      <c r="A65" s="19"/>
      <c r="B65" s="19"/>
      <c r="C65" s="19"/>
      <c r="D65" s="19"/>
      <c r="E65" s="19"/>
      <c r="F65" s="19"/>
      <c r="G65" s="19"/>
      <c r="H65" s="19"/>
      <c r="I65" s="282"/>
      <c r="J65" s="268"/>
      <c r="K65" s="283"/>
      <c r="L65" s="120"/>
      <c r="M65" s="282"/>
      <c r="N65" s="283"/>
      <c r="O65" s="154"/>
      <c r="P65" s="282"/>
      <c r="Q65" s="268"/>
      <c r="R65" s="268"/>
      <c r="S65" s="283"/>
      <c r="T65" s="19"/>
      <c r="U65" s="19"/>
      <c r="V65" s="19"/>
      <c r="W65" s="19"/>
    </row>
    <row r="66" spans="1:23" ht="14">
      <c r="A66" s="19"/>
      <c r="B66" s="19"/>
      <c r="C66" s="19"/>
      <c r="D66" s="19"/>
      <c r="E66" s="19"/>
      <c r="F66" s="19"/>
      <c r="G66" s="19"/>
      <c r="H66" s="19"/>
      <c r="I66" s="284"/>
      <c r="J66" s="285"/>
      <c r="K66" s="286"/>
      <c r="L66" s="120"/>
      <c r="M66" s="284"/>
      <c r="N66" s="286"/>
      <c r="O66" s="154"/>
      <c r="P66" s="284"/>
      <c r="Q66" s="285"/>
      <c r="R66" s="285"/>
      <c r="S66" s="286"/>
      <c r="T66" s="19"/>
      <c r="U66" s="19"/>
      <c r="V66" s="19"/>
      <c r="W66" s="19"/>
    </row>
    <row r="67" spans="1:23" ht="14">
      <c r="A67" s="19"/>
      <c r="B67" s="19"/>
      <c r="C67" s="19"/>
      <c r="D67" s="19"/>
      <c r="E67" s="19"/>
      <c r="F67" s="19"/>
      <c r="G67" s="19"/>
      <c r="H67" s="19"/>
      <c r="I67" s="154"/>
      <c r="J67" s="154"/>
      <c r="K67" s="154"/>
      <c r="L67" s="120"/>
      <c r="M67" s="120"/>
      <c r="N67" s="120"/>
      <c r="O67" s="120"/>
      <c r="P67" s="19"/>
      <c r="Q67" s="19"/>
      <c r="R67" s="19"/>
      <c r="S67" s="19"/>
      <c r="T67" s="19"/>
      <c r="U67" s="19"/>
      <c r="V67" s="19"/>
      <c r="W67" s="19"/>
    </row>
    <row r="68" spans="1:23" ht="14">
      <c r="A68" s="19"/>
      <c r="B68" s="19"/>
      <c r="C68" s="19"/>
      <c r="D68" s="19"/>
      <c r="E68" s="19"/>
      <c r="F68" s="19"/>
      <c r="G68" s="19"/>
      <c r="H68" s="19"/>
      <c r="I68" s="19"/>
      <c r="J68" s="19"/>
      <c r="K68" s="19"/>
      <c r="L68" s="19"/>
      <c r="M68" s="19"/>
      <c r="N68" s="19"/>
      <c r="O68" s="19"/>
      <c r="P68" s="19"/>
      <c r="Q68" s="19"/>
      <c r="R68" s="19"/>
      <c r="S68" s="19"/>
      <c r="T68" s="19"/>
      <c r="U68" s="19"/>
      <c r="V68" s="19"/>
      <c r="W68" s="19"/>
    </row>
    <row r="69" spans="1:23" ht="30">
      <c r="A69" s="19"/>
      <c r="B69" s="19"/>
      <c r="C69" s="19"/>
      <c r="D69" s="19"/>
      <c r="E69" s="19"/>
      <c r="F69" s="19"/>
      <c r="G69" s="19"/>
      <c r="H69" s="19"/>
      <c r="I69" s="322" t="s">
        <v>2089</v>
      </c>
      <c r="J69" s="273"/>
      <c r="K69" s="203" t="s">
        <v>1469</v>
      </c>
      <c r="L69" s="19"/>
      <c r="M69" s="133" t="s">
        <v>2090</v>
      </c>
      <c r="N69" s="133" t="s">
        <v>1469</v>
      </c>
      <c r="O69" s="19"/>
      <c r="P69" s="124" t="s">
        <v>2091</v>
      </c>
      <c r="Q69" s="124" t="s">
        <v>1841</v>
      </c>
      <c r="R69" s="276" t="s">
        <v>1469</v>
      </c>
      <c r="S69" s="273"/>
      <c r="T69" s="19"/>
      <c r="U69" s="19"/>
      <c r="V69" s="19"/>
      <c r="W69" s="19"/>
    </row>
    <row r="70" spans="1:23" ht="45">
      <c r="A70" s="19"/>
      <c r="B70" s="19"/>
      <c r="C70" s="19"/>
      <c r="D70" s="19"/>
      <c r="E70" s="19"/>
      <c r="F70" s="19"/>
      <c r="G70" s="19"/>
      <c r="H70" s="19"/>
      <c r="I70" s="323" t="s">
        <v>2092</v>
      </c>
      <c r="J70" s="163" t="s">
        <v>2093</v>
      </c>
      <c r="K70" s="163" t="s">
        <v>2094</v>
      </c>
      <c r="L70" s="19"/>
      <c r="M70" s="136" t="s">
        <v>2095</v>
      </c>
      <c r="N70" s="5" t="s">
        <v>163</v>
      </c>
      <c r="O70" s="19"/>
      <c r="P70" s="5" t="s">
        <v>268</v>
      </c>
      <c r="Q70" s="136">
        <f>COUNTIF(CleanedData!F112:F157,"yes")</f>
        <v>10</v>
      </c>
      <c r="R70" s="299" t="str">
        <f ca="1">IFERROR(__xludf.DUMMYFUNCTION("JOIN ("", "", FILTER(CleanedData!A112:A157, CleanedData!F112:F157=""yes""))"),"P9, P13, P16, P19, P23, P30, P33, P37, P41, P44")</f>
        <v>P9, P13, P16, P19, P23, P30, P33, P37, P41, P44</v>
      </c>
      <c r="S70" s="273"/>
      <c r="T70" s="19"/>
      <c r="U70" s="19"/>
      <c r="V70" s="19"/>
      <c r="W70" s="19"/>
    </row>
    <row r="71" spans="1:23" ht="15">
      <c r="A71" s="19"/>
      <c r="B71" s="19"/>
      <c r="C71" s="19"/>
      <c r="D71" s="19"/>
      <c r="E71" s="19"/>
      <c r="F71" s="19"/>
      <c r="G71" s="19"/>
      <c r="H71" s="19"/>
      <c r="I71" s="258"/>
      <c r="J71" s="163" t="s">
        <v>2096</v>
      </c>
      <c r="K71" s="163" t="s">
        <v>43</v>
      </c>
      <c r="L71" s="19"/>
      <c r="M71" s="136" t="s">
        <v>2097</v>
      </c>
      <c r="N71" s="5" t="s">
        <v>2098</v>
      </c>
      <c r="O71" s="19"/>
      <c r="P71" s="5" t="s">
        <v>351</v>
      </c>
      <c r="Q71" s="136">
        <f>COUNTIF(CleanedData!F112:F157,"no")</f>
        <v>2</v>
      </c>
      <c r="R71" s="299" t="str">
        <f ca="1">IFERROR(__xludf.DUMMYFUNCTION("JOIN ("", "", FILTER(CleanedData!A112:A157, CleanedData!F112:F157=""no""))"),"P14, P39")</f>
        <v>P14, P39</v>
      </c>
      <c r="S71" s="273"/>
      <c r="T71" s="19"/>
      <c r="U71" s="19"/>
      <c r="V71" s="19"/>
      <c r="W71" s="19"/>
    </row>
    <row r="72" spans="1:23" ht="30">
      <c r="A72" s="19"/>
      <c r="B72" s="19"/>
      <c r="C72" s="19"/>
      <c r="D72" s="19"/>
      <c r="E72" s="19"/>
      <c r="F72" s="19"/>
      <c r="G72" s="19"/>
      <c r="H72" s="19"/>
      <c r="I72" s="258"/>
      <c r="J72" s="163" t="s">
        <v>2099</v>
      </c>
      <c r="K72" s="163" t="s">
        <v>2021</v>
      </c>
      <c r="L72" s="19"/>
      <c r="M72" s="136" t="s">
        <v>430</v>
      </c>
      <c r="N72" s="5" t="s">
        <v>21</v>
      </c>
      <c r="O72" s="19"/>
      <c r="P72" s="136" t="s">
        <v>483</v>
      </c>
      <c r="Q72" s="136">
        <f>COUNTIF(CleanedData!F112:F157,"not mentioned in study")</f>
        <v>34</v>
      </c>
      <c r="R72" s="299" t="str">
        <f ca="1">IFERROR(__xludf.DUMMYFUNCTION("JOIN ("", "", FILTER(CleanedData!A112:A157, CleanedData!F112:F157=""not mentioned in study""))"),"P1, P2, P3, P4, P5, P6, P7, P8, P10, P11, P12, P15, P17, P18, P20, P21, P22, P24, P25, P26, P27, P28, P29, P31, P32, P34, P35, P36, P38, P40, P42, P43, P45, P46")</f>
        <v>P1, P2, P3, P4, P5, P6, P7, P8, P10, P11, P12, P15, P17, P18, P20, P21, P22, P24, P25, P26, P27, P28, P29, P31, P32, P34, P35, P36, P38, P40, P42, P43, P45, P46</v>
      </c>
      <c r="S72" s="273"/>
      <c r="T72" s="19"/>
      <c r="U72" s="19"/>
      <c r="V72" s="19"/>
      <c r="W72" s="19"/>
    </row>
    <row r="73" spans="1:23" ht="15">
      <c r="A73" s="19"/>
      <c r="B73" s="19"/>
      <c r="C73" s="19"/>
      <c r="D73" s="19"/>
      <c r="E73" s="19"/>
      <c r="F73" s="19"/>
      <c r="G73" s="19"/>
      <c r="H73" s="19"/>
      <c r="I73" s="258"/>
      <c r="J73" s="163" t="s">
        <v>2100</v>
      </c>
      <c r="K73" s="163" t="s">
        <v>2101</v>
      </c>
      <c r="L73" s="19"/>
      <c r="M73" s="136" t="s">
        <v>830</v>
      </c>
      <c r="N73" s="5" t="s">
        <v>2102</v>
      </c>
      <c r="O73" s="19"/>
      <c r="P73" s="19"/>
      <c r="Q73" s="19"/>
      <c r="R73" s="19"/>
      <c r="S73" s="19"/>
      <c r="T73" s="19"/>
      <c r="U73" s="19"/>
      <c r="V73" s="19"/>
      <c r="W73" s="19"/>
    </row>
    <row r="74" spans="1:23" ht="30">
      <c r="A74" s="19"/>
      <c r="B74" s="19"/>
      <c r="C74" s="19"/>
      <c r="D74" s="19"/>
      <c r="E74" s="19"/>
      <c r="F74" s="19"/>
      <c r="G74" s="19"/>
      <c r="H74" s="19"/>
      <c r="I74" s="258"/>
      <c r="J74" s="163" t="s">
        <v>2103</v>
      </c>
      <c r="K74" s="163" t="s">
        <v>2104</v>
      </c>
      <c r="L74" s="19"/>
      <c r="M74" s="136" t="s">
        <v>851</v>
      </c>
      <c r="N74" s="5" t="s">
        <v>2105</v>
      </c>
      <c r="O74" s="19"/>
      <c r="P74" s="19"/>
      <c r="Q74" s="19"/>
      <c r="R74" s="19"/>
      <c r="S74" s="19"/>
      <c r="T74" s="19"/>
      <c r="U74" s="19"/>
      <c r="V74" s="19"/>
      <c r="W74" s="19"/>
    </row>
    <row r="75" spans="1:23" ht="15">
      <c r="A75" s="19"/>
      <c r="B75" s="19"/>
      <c r="C75" s="19"/>
      <c r="D75" s="19"/>
      <c r="E75" s="19"/>
      <c r="F75" s="19"/>
      <c r="G75" s="19"/>
      <c r="H75" s="19"/>
      <c r="I75" s="258"/>
      <c r="J75" s="163" t="s">
        <v>2106</v>
      </c>
      <c r="K75" s="171" t="s">
        <v>84</v>
      </c>
      <c r="L75" s="19"/>
      <c r="M75" s="136" t="s">
        <v>260</v>
      </c>
      <c r="N75" s="5" t="s">
        <v>2107</v>
      </c>
      <c r="O75" s="19"/>
      <c r="P75" s="19"/>
      <c r="Q75" s="19"/>
      <c r="R75" s="19"/>
      <c r="S75" s="19"/>
      <c r="T75" s="19"/>
      <c r="U75" s="19"/>
      <c r="V75" s="19"/>
      <c r="W75" s="19"/>
    </row>
    <row r="76" spans="1:23" ht="30">
      <c r="A76" s="19"/>
      <c r="B76" s="19"/>
      <c r="C76" s="19"/>
      <c r="D76" s="19"/>
      <c r="E76" s="19"/>
      <c r="F76" s="19"/>
      <c r="G76" s="19"/>
      <c r="H76" s="19"/>
      <c r="I76" s="258"/>
      <c r="J76" s="163" t="s">
        <v>2108</v>
      </c>
      <c r="K76" s="171" t="s">
        <v>95</v>
      </c>
      <c r="L76" s="19"/>
      <c r="M76" s="136" t="s">
        <v>2109</v>
      </c>
      <c r="N76" s="5" t="s">
        <v>2021</v>
      </c>
      <c r="O76" s="19"/>
      <c r="P76" s="19"/>
      <c r="Q76" s="19"/>
      <c r="R76" s="19"/>
      <c r="S76" s="19"/>
      <c r="T76" s="19"/>
      <c r="U76" s="19"/>
      <c r="V76" s="19"/>
      <c r="W76" s="19"/>
    </row>
    <row r="77" spans="1:23" ht="15">
      <c r="A77" s="19"/>
      <c r="B77" s="19"/>
      <c r="C77" s="19"/>
      <c r="D77" s="19"/>
      <c r="E77" s="19"/>
      <c r="F77" s="19"/>
      <c r="G77" s="19"/>
      <c r="H77" s="19"/>
      <c r="I77" s="258"/>
      <c r="J77" s="163" t="s">
        <v>1230</v>
      </c>
      <c r="K77" s="171" t="s">
        <v>2110</v>
      </c>
      <c r="L77" s="19"/>
      <c r="M77" s="136" t="s">
        <v>2111</v>
      </c>
      <c r="N77" s="5" t="s">
        <v>32</v>
      </c>
      <c r="O77" s="19"/>
      <c r="P77" s="19"/>
      <c r="Q77" s="19"/>
      <c r="R77" s="19"/>
      <c r="S77" s="19"/>
      <c r="T77" s="19"/>
      <c r="U77" s="19"/>
      <c r="V77" s="19"/>
      <c r="W77" s="19"/>
    </row>
    <row r="78" spans="1:23" ht="45">
      <c r="A78" s="19"/>
      <c r="B78" s="19"/>
      <c r="C78" s="19"/>
      <c r="D78" s="19"/>
      <c r="E78" s="19"/>
      <c r="F78" s="19"/>
      <c r="G78" s="19"/>
      <c r="H78" s="19"/>
      <c r="I78" s="258"/>
      <c r="J78" s="163" t="s">
        <v>2112</v>
      </c>
      <c r="K78" s="171" t="s">
        <v>72</v>
      </c>
      <c r="L78" s="19"/>
      <c r="M78" s="136" t="s">
        <v>2113</v>
      </c>
      <c r="N78" s="5" t="s">
        <v>124</v>
      </c>
      <c r="O78" s="19"/>
      <c r="P78" s="19"/>
      <c r="Q78" s="19"/>
      <c r="R78" s="19"/>
      <c r="S78" s="19"/>
      <c r="T78" s="19"/>
      <c r="U78" s="19"/>
      <c r="V78" s="19"/>
      <c r="W78" s="19"/>
    </row>
    <row r="79" spans="1:23" ht="15">
      <c r="A79" s="19"/>
      <c r="B79" s="19"/>
      <c r="C79" s="19"/>
      <c r="D79" s="19"/>
      <c r="E79" s="19"/>
      <c r="F79" s="19"/>
      <c r="G79" s="19"/>
      <c r="H79" s="19"/>
      <c r="I79" s="258"/>
      <c r="J79" s="163" t="s">
        <v>2114</v>
      </c>
      <c r="K79" s="171" t="s">
        <v>75</v>
      </c>
      <c r="L79" s="19"/>
      <c r="M79" s="136" t="s">
        <v>2115</v>
      </c>
      <c r="N79" s="5" t="s">
        <v>2116</v>
      </c>
      <c r="O79" s="19"/>
      <c r="P79" s="19"/>
      <c r="Q79" s="19"/>
      <c r="R79" s="19"/>
      <c r="S79" s="19"/>
      <c r="T79" s="19"/>
      <c r="U79" s="19"/>
      <c r="V79" s="19"/>
      <c r="W79" s="19"/>
    </row>
    <row r="80" spans="1:23" ht="15">
      <c r="A80" s="19"/>
      <c r="B80" s="19"/>
      <c r="C80" s="19"/>
      <c r="D80" s="19"/>
      <c r="E80" s="19"/>
      <c r="F80" s="19"/>
      <c r="G80" s="19"/>
      <c r="H80" s="19"/>
      <c r="I80" s="258"/>
      <c r="J80" s="163" t="s">
        <v>914</v>
      </c>
      <c r="K80" s="171" t="s">
        <v>98</v>
      </c>
      <c r="L80" s="19"/>
      <c r="M80" s="136" t="s">
        <v>1664</v>
      </c>
      <c r="N80" s="5" t="s">
        <v>75</v>
      </c>
      <c r="O80" s="19"/>
      <c r="P80" s="19"/>
      <c r="Q80" s="19"/>
      <c r="R80" s="19"/>
      <c r="S80" s="19"/>
      <c r="T80" s="19"/>
      <c r="U80" s="19"/>
      <c r="V80" s="19"/>
      <c r="W80" s="19"/>
    </row>
    <row r="81" spans="1:23" ht="30">
      <c r="A81" s="19"/>
      <c r="B81" s="19"/>
      <c r="C81" s="19"/>
      <c r="D81" s="19"/>
      <c r="E81" s="19"/>
      <c r="F81" s="19"/>
      <c r="G81" s="19"/>
      <c r="H81" s="19"/>
      <c r="I81" s="258"/>
      <c r="J81" s="163" t="s">
        <v>2117</v>
      </c>
      <c r="K81" s="171" t="s">
        <v>119</v>
      </c>
      <c r="L81" s="19"/>
      <c r="M81" s="136" t="s">
        <v>2118</v>
      </c>
      <c r="N81" s="5" t="s">
        <v>2119</v>
      </c>
      <c r="O81" s="19"/>
      <c r="P81" s="19"/>
      <c r="Q81" s="19"/>
      <c r="R81" s="19"/>
      <c r="S81" s="19"/>
      <c r="T81" s="19"/>
      <c r="U81" s="19"/>
      <c r="V81" s="19"/>
      <c r="W81" s="19"/>
    </row>
    <row r="82" spans="1:23" ht="15">
      <c r="A82" s="19"/>
      <c r="B82" s="19"/>
      <c r="C82" s="19"/>
      <c r="D82" s="19"/>
      <c r="E82" s="19"/>
      <c r="F82" s="19"/>
      <c r="G82" s="19"/>
      <c r="H82" s="19"/>
      <c r="I82" s="258"/>
      <c r="J82" s="163" t="s">
        <v>2120</v>
      </c>
      <c r="K82" s="171" t="s">
        <v>132</v>
      </c>
      <c r="L82" s="19"/>
      <c r="M82" s="136" t="s">
        <v>940</v>
      </c>
      <c r="N82" s="5" t="s">
        <v>2121</v>
      </c>
      <c r="O82" s="19"/>
      <c r="P82" s="19"/>
      <c r="Q82" s="19"/>
      <c r="R82" s="19"/>
      <c r="S82" s="19"/>
      <c r="T82" s="19"/>
      <c r="U82" s="19"/>
      <c r="V82" s="19"/>
      <c r="W82" s="19"/>
    </row>
    <row r="83" spans="1:23" ht="30">
      <c r="A83" s="19"/>
      <c r="B83" s="19"/>
      <c r="C83" s="19"/>
      <c r="D83" s="19"/>
      <c r="E83" s="19"/>
      <c r="F83" s="19"/>
      <c r="G83" s="19"/>
      <c r="H83" s="19"/>
      <c r="I83" s="258"/>
      <c r="J83" s="163" t="s">
        <v>2122</v>
      </c>
      <c r="K83" s="171" t="s">
        <v>184</v>
      </c>
      <c r="L83" s="19"/>
      <c r="M83" s="136" t="s">
        <v>2123</v>
      </c>
      <c r="N83" s="5" t="s">
        <v>2124</v>
      </c>
      <c r="O83" s="19"/>
      <c r="P83" s="19"/>
      <c r="Q83" s="19"/>
      <c r="R83" s="19"/>
      <c r="S83" s="19"/>
      <c r="T83" s="19"/>
      <c r="U83" s="19"/>
      <c r="V83" s="19"/>
      <c r="W83" s="19"/>
    </row>
    <row r="84" spans="1:23" ht="45">
      <c r="A84" s="19"/>
      <c r="B84" s="313" t="s">
        <v>2125</v>
      </c>
      <c r="C84" s="281"/>
      <c r="D84" s="19"/>
      <c r="E84" s="19"/>
      <c r="F84" s="19"/>
      <c r="G84" s="19"/>
      <c r="H84" s="19"/>
      <c r="I84" s="254"/>
      <c r="J84" s="163" t="s">
        <v>325</v>
      </c>
      <c r="K84" s="171" t="s">
        <v>2126</v>
      </c>
      <c r="L84" s="19"/>
      <c r="M84" s="136" t="s">
        <v>2127</v>
      </c>
      <c r="N84" s="5" t="s">
        <v>2128</v>
      </c>
      <c r="O84" s="19"/>
      <c r="P84" s="19"/>
      <c r="Q84" s="19"/>
      <c r="R84" s="19"/>
      <c r="S84" s="19"/>
      <c r="T84" s="19"/>
      <c r="U84" s="19"/>
      <c r="V84" s="19"/>
      <c r="W84" s="19"/>
    </row>
    <row r="85" spans="1:23" ht="30">
      <c r="A85" s="19"/>
      <c r="B85" s="282"/>
      <c r="C85" s="283"/>
      <c r="D85" s="19"/>
      <c r="E85" s="19"/>
      <c r="F85" s="19"/>
      <c r="G85" s="19"/>
      <c r="H85" s="19"/>
      <c r="I85" s="323" t="s">
        <v>2129</v>
      </c>
      <c r="J85" s="163" t="s">
        <v>2130</v>
      </c>
      <c r="K85" s="171" t="s">
        <v>2131</v>
      </c>
      <c r="L85" s="19"/>
      <c r="M85" s="136" t="s">
        <v>2132</v>
      </c>
      <c r="N85" s="5" t="s">
        <v>39</v>
      </c>
      <c r="O85" s="19"/>
      <c r="P85" s="19"/>
      <c r="Q85" s="19"/>
      <c r="R85" s="19"/>
      <c r="S85" s="19"/>
      <c r="T85" s="19"/>
      <c r="U85" s="19"/>
      <c r="V85" s="19"/>
      <c r="W85" s="19"/>
    </row>
    <row r="86" spans="1:23" ht="15">
      <c r="A86" s="19"/>
      <c r="B86" s="284"/>
      <c r="C86" s="286"/>
      <c r="D86" s="19"/>
      <c r="E86" s="19"/>
      <c r="F86" s="19"/>
      <c r="G86" s="19"/>
      <c r="H86" s="19"/>
      <c r="I86" s="258"/>
      <c r="J86" s="163" t="s">
        <v>1162</v>
      </c>
      <c r="K86" s="171" t="s">
        <v>144</v>
      </c>
      <c r="L86" s="19"/>
      <c r="M86" s="136" t="s">
        <v>1364</v>
      </c>
      <c r="N86" s="5" t="s">
        <v>2133</v>
      </c>
      <c r="O86" s="19"/>
      <c r="P86" s="19"/>
      <c r="Q86" s="19"/>
      <c r="R86" s="19"/>
      <c r="S86" s="19"/>
      <c r="T86" s="19"/>
      <c r="U86" s="19"/>
      <c r="V86" s="19"/>
      <c r="W86" s="19"/>
    </row>
    <row r="87" spans="1:23" ht="15">
      <c r="A87" s="19"/>
      <c r="B87" s="274" t="s">
        <v>2134</v>
      </c>
      <c r="C87" s="268"/>
      <c r="D87" s="19"/>
      <c r="E87" s="19"/>
      <c r="F87" s="19"/>
      <c r="G87" s="19"/>
      <c r="H87" s="19"/>
      <c r="I87" s="258"/>
      <c r="J87" s="163" t="s">
        <v>2135</v>
      </c>
      <c r="K87" s="171" t="s">
        <v>2021</v>
      </c>
      <c r="L87" s="19"/>
      <c r="M87" s="136" t="s">
        <v>2136</v>
      </c>
      <c r="N87" s="5" t="s">
        <v>151</v>
      </c>
      <c r="O87" s="19"/>
      <c r="P87" s="19"/>
      <c r="Q87" s="19"/>
      <c r="R87" s="19"/>
      <c r="S87" s="19"/>
      <c r="T87" s="19"/>
      <c r="U87" s="19"/>
      <c r="V87" s="19"/>
      <c r="W87" s="19"/>
    </row>
    <row r="88" spans="1:23" ht="45">
      <c r="A88" s="19"/>
      <c r="B88" s="133" t="s">
        <v>194</v>
      </c>
      <c r="C88" s="64" t="s">
        <v>1609</v>
      </c>
      <c r="D88" s="19"/>
      <c r="E88" s="19"/>
      <c r="F88" s="19"/>
      <c r="G88" s="19"/>
      <c r="H88" s="19"/>
      <c r="I88" s="258"/>
      <c r="J88" s="163" t="s">
        <v>2137</v>
      </c>
      <c r="K88" s="171" t="s">
        <v>43</v>
      </c>
      <c r="L88" s="19"/>
      <c r="M88" s="136" t="s">
        <v>325</v>
      </c>
      <c r="N88" s="136" t="s">
        <v>2138</v>
      </c>
      <c r="O88" s="19"/>
      <c r="P88" s="19"/>
      <c r="Q88" s="19"/>
      <c r="R88" s="19"/>
      <c r="S88" s="19"/>
      <c r="T88" s="19"/>
      <c r="U88" s="19"/>
      <c r="V88" s="19"/>
      <c r="W88" s="19"/>
    </row>
    <row r="89" spans="1:23" ht="60">
      <c r="A89" s="19"/>
      <c r="B89" s="5" t="s">
        <v>8</v>
      </c>
      <c r="C89" s="136" t="s">
        <v>266</v>
      </c>
      <c r="D89" s="19"/>
      <c r="E89" s="19"/>
      <c r="F89" s="19"/>
      <c r="G89" s="19"/>
      <c r="H89" s="19"/>
      <c r="I89" s="258"/>
      <c r="J89" s="163" t="s">
        <v>2139</v>
      </c>
      <c r="K89" s="171" t="s">
        <v>56</v>
      </c>
      <c r="L89" s="19"/>
      <c r="M89" s="19"/>
      <c r="N89" s="19"/>
      <c r="O89" s="19"/>
      <c r="P89" s="19"/>
      <c r="Q89" s="19"/>
      <c r="R89" s="19"/>
      <c r="S89" s="19"/>
      <c r="T89" s="19"/>
      <c r="U89" s="19"/>
      <c r="V89" s="19"/>
      <c r="W89" s="19"/>
    </row>
    <row r="90" spans="1:23" ht="15">
      <c r="A90" s="19"/>
      <c r="B90" s="5" t="s">
        <v>14</v>
      </c>
      <c r="C90" s="136" t="s">
        <v>1616</v>
      </c>
      <c r="D90" s="19"/>
      <c r="E90" s="19"/>
      <c r="F90" s="19"/>
      <c r="G90" s="19"/>
      <c r="H90" s="19"/>
      <c r="I90" s="258"/>
      <c r="J90" s="163" t="s">
        <v>2140</v>
      </c>
      <c r="K90" s="171" t="s">
        <v>2141</v>
      </c>
      <c r="L90" s="19"/>
      <c r="M90" s="19"/>
      <c r="N90" s="19"/>
      <c r="O90" s="19"/>
      <c r="P90" s="19"/>
      <c r="Q90" s="19"/>
      <c r="R90" s="19"/>
      <c r="S90" s="19"/>
      <c r="T90" s="19"/>
      <c r="U90" s="19"/>
      <c r="V90" s="19"/>
      <c r="W90" s="19"/>
    </row>
    <row r="91" spans="1:23" ht="15">
      <c r="A91" s="19"/>
      <c r="B91" s="5" t="s">
        <v>17</v>
      </c>
      <c r="C91" s="55" t="s">
        <v>1622</v>
      </c>
      <c r="D91" s="19"/>
      <c r="E91" s="19"/>
      <c r="F91" s="19"/>
      <c r="G91" s="19"/>
      <c r="H91" s="19"/>
      <c r="I91" s="258"/>
      <c r="J91" s="163" t="s">
        <v>914</v>
      </c>
      <c r="K91" s="171" t="s">
        <v>98</v>
      </c>
      <c r="L91" s="19"/>
      <c r="M91" s="19"/>
      <c r="N91" s="19"/>
      <c r="O91" s="19"/>
      <c r="P91" s="19"/>
      <c r="Q91" s="19"/>
      <c r="R91" s="19"/>
      <c r="S91" s="19"/>
      <c r="T91" s="19"/>
      <c r="U91" s="19"/>
      <c r="V91" s="19"/>
      <c r="W91" s="19"/>
    </row>
    <row r="92" spans="1:23" ht="45">
      <c r="A92" s="19"/>
      <c r="B92" s="5" t="s">
        <v>21</v>
      </c>
      <c r="C92" s="55" t="s">
        <v>1630</v>
      </c>
      <c r="D92" s="19"/>
      <c r="E92" s="19"/>
      <c r="F92" s="19"/>
      <c r="G92" s="19"/>
      <c r="H92" s="19"/>
      <c r="I92" s="258"/>
      <c r="J92" s="163" t="s">
        <v>2142</v>
      </c>
      <c r="K92" s="171" t="s">
        <v>2143</v>
      </c>
      <c r="L92" s="19"/>
      <c r="M92" s="19"/>
      <c r="N92" s="19"/>
      <c r="O92" s="19"/>
      <c r="P92" s="19"/>
      <c r="Q92" s="19"/>
      <c r="R92" s="19"/>
      <c r="S92" s="19"/>
      <c r="T92" s="19"/>
      <c r="U92" s="19"/>
      <c r="V92" s="19"/>
      <c r="W92" s="19"/>
    </row>
    <row r="93" spans="1:23" ht="15">
      <c r="A93" s="19"/>
      <c r="B93" s="5" t="s">
        <v>26</v>
      </c>
      <c r="C93" s="136" t="s">
        <v>386</v>
      </c>
      <c r="D93" s="19"/>
      <c r="E93" s="19"/>
      <c r="F93" s="19"/>
      <c r="G93" s="19"/>
      <c r="H93" s="19"/>
      <c r="I93" s="258"/>
      <c r="J93" s="163" t="s">
        <v>2144</v>
      </c>
      <c r="K93" s="171" t="s">
        <v>21</v>
      </c>
      <c r="L93" s="19"/>
      <c r="M93" s="19"/>
      <c r="N93" s="19"/>
      <c r="O93" s="19"/>
      <c r="P93" s="19"/>
      <c r="Q93" s="19"/>
      <c r="R93" s="19"/>
      <c r="S93" s="19"/>
      <c r="T93" s="19"/>
      <c r="U93" s="19"/>
      <c r="V93" s="19"/>
      <c r="W93" s="19"/>
    </row>
    <row r="94" spans="1:23" ht="15">
      <c r="A94" s="19"/>
      <c r="B94" s="5" t="s">
        <v>29</v>
      </c>
      <c r="C94" s="136" t="s">
        <v>386</v>
      </c>
      <c r="D94" s="19"/>
      <c r="H94" s="19"/>
      <c r="I94" s="258"/>
      <c r="J94" s="163" t="s">
        <v>2145</v>
      </c>
      <c r="K94" s="171" t="s">
        <v>95</v>
      </c>
      <c r="L94" s="19"/>
      <c r="M94" s="19"/>
      <c r="N94" s="19"/>
      <c r="O94" s="19"/>
      <c r="P94" s="19"/>
      <c r="Q94" s="19"/>
      <c r="R94" s="19"/>
      <c r="S94" s="19"/>
      <c r="T94" s="19"/>
      <c r="U94" s="19"/>
      <c r="V94" s="19"/>
      <c r="W94" s="19"/>
    </row>
    <row r="95" spans="1:23" ht="30">
      <c r="A95" s="19"/>
      <c r="B95" s="5" t="s">
        <v>32</v>
      </c>
      <c r="C95" s="136" t="s">
        <v>546</v>
      </c>
      <c r="D95" s="19"/>
      <c r="E95" s="19"/>
      <c r="F95" s="19"/>
      <c r="G95" s="19"/>
      <c r="H95" s="19"/>
      <c r="I95" s="258"/>
      <c r="J95" s="163" t="s">
        <v>2146</v>
      </c>
      <c r="K95" s="171" t="s">
        <v>2147</v>
      </c>
      <c r="L95" s="19"/>
      <c r="M95" s="19"/>
      <c r="N95" s="19"/>
      <c r="O95" s="19"/>
      <c r="P95" s="19"/>
      <c r="Q95" s="19"/>
      <c r="R95" s="19"/>
      <c r="S95" s="19"/>
      <c r="T95" s="19"/>
      <c r="U95" s="19"/>
      <c r="V95" s="19"/>
      <c r="W95" s="19"/>
    </row>
    <row r="96" spans="1:23" ht="30">
      <c r="A96" s="19"/>
      <c r="B96" s="5" t="s">
        <v>36</v>
      </c>
      <c r="C96" s="136" t="s">
        <v>386</v>
      </c>
      <c r="D96" s="19"/>
      <c r="E96" s="19"/>
      <c r="F96" s="19"/>
      <c r="G96" s="19"/>
      <c r="H96" s="19"/>
      <c r="I96" s="258"/>
      <c r="J96" s="163" t="s">
        <v>2148</v>
      </c>
      <c r="K96" s="171" t="s">
        <v>106</v>
      </c>
      <c r="L96" s="19"/>
      <c r="M96" s="19"/>
      <c r="N96" s="19"/>
      <c r="O96" s="19"/>
      <c r="P96" s="19"/>
      <c r="Q96" s="19"/>
      <c r="R96" s="19"/>
      <c r="S96" s="19"/>
      <c r="T96" s="19"/>
      <c r="U96" s="19"/>
      <c r="V96" s="19"/>
      <c r="W96" s="19"/>
    </row>
    <row r="97" spans="1:23" ht="30">
      <c r="A97" s="19"/>
      <c r="B97" s="5" t="s">
        <v>39</v>
      </c>
      <c r="C97" s="136" t="s">
        <v>610</v>
      </c>
      <c r="D97" s="19"/>
      <c r="E97" s="19"/>
      <c r="F97" s="19"/>
      <c r="G97" s="19"/>
      <c r="H97" s="19"/>
      <c r="I97" s="258"/>
      <c r="J97" s="163" t="s">
        <v>2149</v>
      </c>
      <c r="K97" s="171" t="s">
        <v>132</v>
      </c>
      <c r="L97" s="19"/>
      <c r="M97" s="19"/>
      <c r="N97" s="19"/>
      <c r="O97" s="19"/>
      <c r="P97" s="19"/>
      <c r="Q97" s="19"/>
      <c r="R97" s="19"/>
      <c r="S97" s="19"/>
      <c r="T97" s="19"/>
      <c r="U97" s="19"/>
      <c r="V97" s="19"/>
      <c r="W97" s="19"/>
    </row>
    <row r="98" spans="1:23" ht="45">
      <c r="A98" s="19"/>
      <c r="B98" s="5" t="s">
        <v>43</v>
      </c>
      <c r="C98" s="136" t="s">
        <v>634</v>
      </c>
      <c r="D98" s="19"/>
      <c r="E98" s="19"/>
      <c r="F98" s="19"/>
      <c r="G98" s="19"/>
      <c r="H98" s="19"/>
      <c r="I98" s="258"/>
      <c r="J98" s="163" t="s">
        <v>2150</v>
      </c>
      <c r="K98" s="171" t="s">
        <v>132</v>
      </c>
      <c r="L98" s="19"/>
      <c r="M98" s="321" t="s">
        <v>2151</v>
      </c>
      <c r="N98" s="149" t="s">
        <v>2152</v>
      </c>
      <c r="O98" s="184" t="s">
        <v>2037</v>
      </c>
      <c r="P98" s="19"/>
      <c r="Q98" s="19"/>
      <c r="R98" s="19"/>
      <c r="S98" s="19"/>
      <c r="T98" s="19"/>
      <c r="U98" s="19"/>
      <c r="V98" s="19"/>
      <c r="W98" s="19"/>
    </row>
    <row r="99" spans="1:23" ht="30">
      <c r="A99" s="19"/>
      <c r="B99" s="5" t="s">
        <v>49</v>
      </c>
      <c r="C99" s="136" t="s">
        <v>1649</v>
      </c>
      <c r="D99" s="19"/>
      <c r="E99" s="19"/>
      <c r="F99" s="19"/>
      <c r="G99" s="19"/>
      <c r="H99" s="19"/>
      <c r="I99" s="258"/>
      <c r="J99" s="163" t="s">
        <v>2153</v>
      </c>
      <c r="K99" s="171" t="s">
        <v>184</v>
      </c>
      <c r="L99" s="19"/>
      <c r="M99" s="258"/>
      <c r="N99" s="149" t="s">
        <v>2154</v>
      </c>
      <c r="O99" s="184" t="s">
        <v>56</v>
      </c>
      <c r="P99" s="19"/>
      <c r="Q99" s="19"/>
      <c r="R99" s="19"/>
      <c r="S99" s="19"/>
      <c r="T99" s="19"/>
      <c r="U99" s="19"/>
      <c r="V99" s="19"/>
      <c r="W99" s="19"/>
    </row>
    <row r="100" spans="1:23" ht="45">
      <c r="A100" s="19"/>
      <c r="B100" s="5" t="s">
        <v>53</v>
      </c>
      <c r="C100" s="136" t="s">
        <v>1113</v>
      </c>
      <c r="D100" s="19"/>
      <c r="E100" s="19"/>
      <c r="F100" s="19"/>
      <c r="G100" s="19"/>
      <c r="H100" s="19"/>
      <c r="I100" s="254"/>
      <c r="J100" s="163" t="s">
        <v>325</v>
      </c>
      <c r="K100" s="171" t="s">
        <v>2155</v>
      </c>
      <c r="L100" s="19"/>
      <c r="M100" s="258"/>
      <c r="N100" s="149" t="s">
        <v>2156</v>
      </c>
      <c r="O100" s="184" t="s">
        <v>2157</v>
      </c>
      <c r="P100" s="19"/>
      <c r="Q100" s="19"/>
      <c r="R100" s="19"/>
      <c r="S100" s="19"/>
      <c r="T100" s="19"/>
      <c r="U100" s="19"/>
      <c r="V100" s="19"/>
      <c r="W100" s="19"/>
    </row>
    <row r="101" spans="1:23" ht="165">
      <c r="A101" s="19"/>
      <c r="B101" s="5" t="s">
        <v>56</v>
      </c>
      <c r="C101" s="136" t="s">
        <v>697</v>
      </c>
      <c r="D101" s="19"/>
      <c r="E101" s="19"/>
      <c r="F101" s="19"/>
      <c r="G101" s="19"/>
      <c r="H101" s="19"/>
      <c r="I101" s="321" t="s">
        <v>2158</v>
      </c>
      <c r="J101" s="163" t="s">
        <v>2159</v>
      </c>
      <c r="K101" s="171" t="s">
        <v>2160</v>
      </c>
      <c r="L101" s="19"/>
      <c r="M101" s="254"/>
      <c r="N101" s="149" t="s">
        <v>2161</v>
      </c>
      <c r="O101" s="184" t="s">
        <v>2162</v>
      </c>
      <c r="P101" s="19"/>
      <c r="Q101" s="19"/>
      <c r="R101" s="19"/>
      <c r="S101" s="19"/>
      <c r="T101" s="19"/>
      <c r="U101" s="19"/>
      <c r="V101" s="19"/>
      <c r="W101" s="19"/>
    </row>
    <row r="102" spans="1:23" ht="15">
      <c r="A102" s="19"/>
      <c r="B102" s="5" t="s">
        <v>60</v>
      </c>
      <c r="C102" s="136" t="s">
        <v>2163</v>
      </c>
      <c r="D102" s="19"/>
      <c r="E102" s="19"/>
      <c r="F102" s="19"/>
      <c r="G102" s="19"/>
      <c r="H102" s="19"/>
      <c r="I102" s="258"/>
      <c r="J102" s="163" t="s">
        <v>2164</v>
      </c>
      <c r="K102" s="171" t="s">
        <v>2165</v>
      </c>
      <c r="L102" s="19"/>
      <c r="M102" s="19"/>
      <c r="N102" s="19"/>
      <c r="O102" s="19"/>
      <c r="P102" s="19"/>
      <c r="Q102" s="19"/>
      <c r="R102" s="19"/>
      <c r="S102" s="19"/>
      <c r="T102" s="19"/>
      <c r="U102" s="19"/>
      <c r="V102" s="19"/>
      <c r="W102" s="19"/>
    </row>
    <row r="103" spans="1:23" ht="60">
      <c r="A103" s="19"/>
      <c r="B103" s="5" t="s">
        <v>65</v>
      </c>
      <c r="C103" s="136" t="s">
        <v>737</v>
      </c>
      <c r="D103" s="19"/>
      <c r="E103" s="19"/>
      <c r="F103" s="19"/>
      <c r="G103" s="19"/>
      <c r="H103" s="19"/>
      <c r="I103" s="258"/>
      <c r="J103" s="163" t="s">
        <v>2166</v>
      </c>
      <c r="K103" s="171" t="s">
        <v>2167</v>
      </c>
      <c r="L103" s="19"/>
      <c r="M103" s="19"/>
      <c r="N103" s="19"/>
      <c r="O103" s="19"/>
      <c r="P103" s="19"/>
      <c r="Q103" s="19"/>
      <c r="R103" s="19"/>
      <c r="S103" s="19"/>
      <c r="T103" s="19"/>
      <c r="U103" s="19"/>
      <c r="V103" s="19"/>
      <c r="W103" s="19"/>
    </row>
    <row r="104" spans="1:23" ht="30">
      <c r="A104" s="19"/>
      <c r="B104" s="5" t="s">
        <v>69</v>
      </c>
      <c r="C104" s="55" t="s">
        <v>1660</v>
      </c>
      <c r="D104" s="19"/>
      <c r="E104" s="19"/>
      <c r="F104" s="19"/>
      <c r="G104" s="19"/>
      <c r="H104" s="19"/>
      <c r="I104" s="258"/>
      <c r="J104" s="163" t="s">
        <v>2168</v>
      </c>
      <c r="K104" s="171" t="s">
        <v>2169</v>
      </c>
      <c r="L104" s="19"/>
      <c r="M104" s="19"/>
      <c r="N104" s="19"/>
      <c r="O104" s="19"/>
      <c r="P104" s="19"/>
      <c r="Q104" s="19"/>
      <c r="R104" s="19"/>
      <c r="S104" s="19"/>
      <c r="T104" s="19"/>
      <c r="U104" s="19"/>
      <c r="V104" s="19"/>
      <c r="W104" s="19"/>
    </row>
    <row r="105" spans="1:23" ht="60">
      <c r="A105" s="19"/>
      <c r="B105" s="5" t="s">
        <v>72</v>
      </c>
      <c r="C105" s="136" t="s">
        <v>1662</v>
      </c>
      <c r="D105" s="19"/>
      <c r="E105" s="19"/>
      <c r="F105" s="19"/>
      <c r="G105" s="19"/>
      <c r="H105" s="19"/>
      <c r="I105" s="258"/>
      <c r="J105" s="163" t="s">
        <v>2170</v>
      </c>
      <c r="K105" s="171" t="s">
        <v>124</v>
      </c>
      <c r="L105" s="19"/>
      <c r="M105" s="19"/>
      <c r="N105" s="19"/>
      <c r="O105" s="19"/>
      <c r="P105" s="19"/>
      <c r="Q105" s="19"/>
      <c r="R105" s="19"/>
      <c r="S105" s="19"/>
      <c r="T105" s="19"/>
      <c r="U105" s="19"/>
      <c r="V105" s="19"/>
      <c r="W105" s="19"/>
    </row>
    <row r="106" spans="1:23" ht="15">
      <c r="A106" s="19"/>
      <c r="B106" s="5" t="s">
        <v>75</v>
      </c>
      <c r="C106" s="136" t="s">
        <v>386</v>
      </c>
      <c r="D106" s="19"/>
      <c r="E106" s="19"/>
      <c r="F106" s="19"/>
      <c r="G106" s="19"/>
      <c r="H106" s="19"/>
      <c r="I106" s="258"/>
      <c r="J106" s="163" t="s">
        <v>2171</v>
      </c>
      <c r="K106" s="171" t="s">
        <v>17</v>
      </c>
      <c r="L106" s="19"/>
      <c r="M106" s="19"/>
      <c r="N106" s="19"/>
      <c r="O106" s="19"/>
      <c r="P106" s="19"/>
      <c r="Q106" s="19"/>
      <c r="R106" s="19"/>
      <c r="S106" s="19"/>
      <c r="T106" s="19"/>
      <c r="U106" s="19"/>
      <c r="V106" s="19"/>
      <c r="W106" s="19"/>
    </row>
    <row r="107" spans="1:23" ht="30">
      <c r="A107" s="19"/>
      <c r="B107" s="5" t="s">
        <v>79</v>
      </c>
      <c r="C107" s="136" t="s">
        <v>1622</v>
      </c>
      <c r="D107" s="19"/>
      <c r="E107" s="19"/>
      <c r="F107" s="19"/>
      <c r="G107" s="19"/>
      <c r="H107" s="19"/>
      <c r="I107" s="258"/>
      <c r="J107" s="163" t="s">
        <v>2172</v>
      </c>
      <c r="K107" s="171" t="s">
        <v>2021</v>
      </c>
      <c r="L107" s="19"/>
      <c r="M107" s="19"/>
      <c r="N107" s="19"/>
      <c r="O107" s="19"/>
      <c r="P107" s="19"/>
      <c r="Q107" s="19"/>
      <c r="R107" s="19"/>
      <c r="S107" s="19"/>
      <c r="T107" s="19"/>
      <c r="U107" s="19"/>
      <c r="V107" s="19"/>
      <c r="W107" s="19"/>
    </row>
    <row r="108" spans="1:23" ht="15">
      <c r="A108" s="19"/>
      <c r="B108" s="5" t="s">
        <v>84</v>
      </c>
      <c r="C108" s="136" t="s">
        <v>1622</v>
      </c>
      <c r="D108" s="19"/>
      <c r="E108" s="19"/>
      <c r="F108" s="19"/>
      <c r="G108" s="19"/>
      <c r="H108" s="19"/>
      <c r="I108" s="258"/>
      <c r="J108" s="163" t="s">
        <v>2144</v>
      </c>
      <c r="K108" s="171" t="s">
        <v>21</v>
      </c>
      <c r="L108" s="19"/>
      <c r="M108" s="19"/>
      <c r="N108" s="19"/>
      <c r="O108" s="19"/>
      <c r="P108" s="19"/>
      <c r="Q108" s="19"/>
      <c r="R108" s="19"/>
      <c r="S108" s="19"/>
      <c r="T108" s="19"/>
      <c r="U108" s="19"/>
      <c r="V108" s="19"/>
      <c r="W108" s="19"/>
    </row>
    <row r="109" spans="1:23" ht="15">
      <c r="A109" s="19"/>
      <c r="B109" s="5" t="s">
        <v>87</v>
      </c>
      <c r="C109" s="136" t="s">
        <v>386</v>
      </c>
      <c r="D109" s="19"/>
      <c r="E109" s="19"/>
      <c r="F109" s="19"/>
      <c r="G109" s="19"/>
      <c r="H109" s="19"/>
      <c r="I109" s="258"/>
      <c r="J109" s="163" t="s">
        <v>2096</v>
      </c>
      <c r="K109" s="171" t="s">
        <v>43</v>
      </c>
      <c r="L109" s="19"/>
      <c r="M109" s="19"/>
      <c r="N109" s="19"/>
      <c r="O109" s="19"/>
      <c r="P109" s="19"/>
      <c r="Q109" s="19"/>
      <c r="R109" s="19"/>
      <c r="S109" s="19"/>
      <c r="T109" s="19"/>
      <c r="U109" s="19"/>
      <c r="V109" s="19"/>
      <c r="W109" s="19"/>
    </row>
    <row r="110" spans="1:23" ht="30">
      <c r="A110" s="19"/>
      <c r="B110" s="5" t="s">
        <v>91</v>
      </c>
      <c r="C110" s="136" t="s">
        <v>1668</v>
      </c>
      <c r="D110" s="19"/>
      <c r="E110" s="19"/>
      <c r="F110" s="19"/>
      <c r="G110" s="19"/>
      <c r="H110" s="19"/>
      <c r="I110" s="258"/>
      <c r="J110" s="163" t="s">
        <v>2173</v>
      </c>
      <c r="K110" s="171" t="s">
        <v>95</v>
      </c>
      <c r="L110" s="19"/>
      <c r="M110" s="19"/>
      <c r="N110" s="19"/>
      <c r="O110" s="19"/>
      <c r="P110" s="19"/>
      <c r="Q110" s="19"/>
      <c r="R110" s="19"/>
      <c r="S110" s="19"/>
      <c r="T110" s="19"/>
      <c r="U110" s="19"/>
      <c r="V110" s="19"/>
      <c r="W110" s="19"/>
    </row>
    <row r="111" spans="1:23" ht="30">
      <c r="A111" s="19"/>
      <c r="B111" s="5" t="s">
        <v>95</v>
      </c>
      <c r="C111" s="136" t="s">
        <v>899</v>
      </c>
      <c r="D111" s="19"/>
      <c r="E111" s="19"/>
      <c r="F111" s="19"/>
      <c r="G111" s="19"/>
      <c r="H111" s="19"/>
      <c r="I111" s="258"/>
      <c r="J111" s="163" t="s">
        <v>2174</v>
      </c>
      <c r="K111" s="171" t="s">
        <v>114</v>
      </c>
      <c r="L111" s="19"/>
      <c r="M111" s="19"/>
      <c r="N111" s="19"/>
      <c r="O111" s="19"/>
      <c r="P111" s="19"/>
      <c r="Q111" s="19"/>
      <c r="R111" s="19"/>
      <c r="S111" s="19"/>
      <c r="T111" s="19"/>
      <c r="U111" s="19"/>
      <c r="V111" s="19"/>
      <c r="W111" s="19"/>
    </row>
    <row r="112" spans="1:23" ht="30">
      <c r="A112" s="19"/>
      <c r="B112" s="5" t="s">
        <v>98</v>
      </c>
      <c r="C112" s="136" t="s">
        <v>386</v>
      </c>
      <c r="D112" s="19"/>
      <c r="E112" s="19"/>
      <c r="F112" s="19"/>
      <c r="G112" s="19"/>
      <c r="H112" s="19"/>
      <c r="I112" s="258"/>
      <c r="J112" s="163" t="s">
        <v>2175</v>
      </c>
      <c r="K112" s="171" t="s">
        <v>184</v>
      </c>
      <c r="L112" s="19"/>
      <c r="M112" s="19"/>
      <c r="N112" s="19"/>
      <c r="O112" s="19"/>
      <c r="P112" s="19"/>
      <c r="Q112" s="19"/>
      <c r="R112" s="19"/>
      <c r="S112" s="19"/>
      <c r="T112" s="19"/>
      <c r="U112" s="19"/>
      <c r="V112" s="19"/>
      <c r="W112" s="19"/>
    </row>
    <row r="113" spans="1:23" ht="15">
      <c r="A113" s="19"/>
      <c r="B113" s="5" t="s">
        <v>102</v>
      </c>
      <c r="C113" s="55" t="s">
        <v>1622</v>
      </c>
      <c r="D113" s="19"/>
      <c r="E113" s="19"/>
      <c r="F113" s="19"/>
      <c r="G113" s="19"/>
      <c r="H113" s="19"/>
      <c r="I113" s="258"/>
      <c r="J113" s="163" t="s">
        <v>2106</v>
      </c>
      <c r="K113" s="171" t="s">
        <v>84</v>
      </c>
      <c r="L113" s="19"/>
      <c r="M113" s="19"/>
      <c r="N113" s="19"/>
      <c r="O113" s="19"/>
      <c r="P113" s="19"/>
      <c r="Q113" s="19"/>
      <c r="R113" s="19"/>
      <c r="S113" s="19"/>
      <c r="T113" s="19"/>
      <c r="U113" s="19"/>
      <c r="V113" s="19"/>
      <c r="W113" s="19"/>
    </row>
    <row r="114" spans="1:23" ht="60">
      <c r="A114" s="19"/>
      <c r="B114" s="5" t="s">
        <v>106</v>
      </c>
      <c r="C114" s="136" t="s">
        <v>386</v>
      </c>
      <c r="D114" s="19"/>
      <c r="E114" s="19"/>
      <c r="F114" s="19"/>
      <c r="G114" s="19"/>
      <c r="H114" s="19"/>
      <c r="I114" s="254"/>
      <c r="J114" s="163" t="s">
        <v>325</v>
      </c>
      <c r="K114" s="171" t="s">
        <v>2176</v>
      </c>
      <c r="L114" s="19"/>
      <c r="M114" s="19"/>
      <c r="N114" s="19"/>
      <c r="O114" s="19"/>
      <c r="P114" s="19"/>
      <c r="Q114" s="19"/>
      <c r="R114" s="19"/>
      <c r="S114" s="19"/>
      <c r="T114" s="19"/>
      <c r="U114" s="19"/>
      <c r="V114" s="19"/>
      <c r="W114" s="19"/>
    </row>
    <row r="115" spans="1:23" ht="60">
      <c r="A115" s="19"/>
      <c r="B115" s="5" t="s">
        <v>110</v>
      </c>
      <c r="C115" s="136" t="s">
        <v>986</v>
      </c>
      <c r="D115" s="19"/>
      <c r="E115" s="19"/>
      <c r="F115" s="19"/>
      <c r="G115" s="19"/>
      <c r="H115" s="19"/>
      <c r="I115" s="321" t="s">
        <v>2177</v>
      </c>
      <c r="J115" s="163" t="s">
        <v>2178</v>
      </c>
      <c r="K115" s="171" t="s">
        <v>32</v>
      </c>
      <c r="L115" s="19"/>
      <c r="M115" s="19"/>
      <c r="N115" s="19"/>
      <c r="O115" s="19"/>
      <c r="P115" s="19"/>
      <c r="Q115" s="19"/>
      <c r="R115" s="19"/>
      <c r="S115" s="19"/>
      <c r="T115" s="19"/>
      <c r="U115" s="19"/>
      <c r="V115" s="19"/>
      <c r="W115" s="19"/>
    </row>
    <row r="116" spans="1:23" ht="15">
      <c r="A116" s="19"/>
      <c r="B116" s="5" t="s">
        <v>114</v>
      </c>
      <c r="C116" s="136" t="s">
        <v>386</v>
      </c>
      <c r="D116" s="19"/>
      <c r="E116" s="19"/>
      <c r="F116" s="19"/>
      <c r="G116" s="19"/>
      <c r="H116" s="19"/>
      <c r="I116" s="258"/>
      <c r="J116" s="163" t="s">
        <v>2179</v>
      </c>
      <c r="K116" s="171" t="s">
        <v>60</v>
      </c>
      <c r="L116" s="19"/>
      <c r="M116" s="19"/>
      <c r="N116" s="19"/>
      <c r="O116" s="19"/>
      <c r="P116" s="19"/>
      <c r="Q116" s="19"/>
      <c r="R116" s="19"/>
      <c r="S116" s="19"/>
      <c r="T116" s="19"/>
      <c r="U116" s="19"/>
      <c r="V116" s="19"/>
      <c r="W116" s="19"/>
    </row>
    <row r="117" spans="1:23" ht="30">
      <c r="A117" s="19"/>
      <c r="B117" s="5" t="s">
        <v>119</v>
      </c>
      <c r="C117" s="136" t="s">
        <v>1622</v>
      </c>
      <c r="D117" s="19"/>
      <c r="E117" s="19"/>
      <c r="F117" s="19"/>
      <c r="G117" s="19"/>
      <c r="H117" s="19"/>
      <c r="I117" s="258"/>
      <c r="J117" s="163" t="s">
        <v>2180</v>
      </c>
      <c r="K117" s="171" t="s">
        <v>102</v>
      </c>
      <c r="L117" s="19"/>
      <c r="M117" s="19"/>
      <c r="N117" s="19"/>
      <c r="O117" s="19"/>
      <c r="P117" s="19"/>
      <c r="Q117" s="19"/>
      <c r="R117" s="19"/>
      <c r="S117" s="19"/>
      <c r="T117" s="19"/>
      <c r="U117" s="19"/>
      <c r="V117" s="19"/>
      <c r="W117" s="19"/>
    </row>
    <row r="118" spans="1:23" ht="15">
      <c r="A118" s="19"/>
      <c r="B118" s="5" t="s">
        <v>124</v>
      </c>
      <c r="C118" s="136" t="s">
        <v>386</v>
      </c>
      <c r="D118" s="19"/>
      <c r="E118" s="19"/>
      <c r="F118" s="19"/>
      <c r="G118" s="19"/>
      <c r="H118" s="19"/>
      <c r="I118" s="254"/>
      <c r="J118" s="163" t="s">
        <v>2181</v>
      </c>
      <c r="K118" s="171" t="s">
        <v>75</v>
      </c>
      <c r="L118" s="19"/>
      <c r="M118" s="19"/>
      <c r="N118" s="19"/>
      <c r="O118" s="19"/>
      <c r="P118" s="19"/>
      <c r="Q118" s="19"/>
      <c r="R118" s="19"/>
      <c r="S118" s="19"/>
      <c r="T118" s="19"/>
      <c r="U118" s="19"/>
      <c r="V118" s="19"/>
      <c r="W118" s="19"/>
    </row>
    <row r="119" spans="1:23" ht="15">
      <c r="A119" s="19"/>
      <c r="B119" s="5" t="s">
        <v>129</v>
      </c>
      <c r="C119" s="55" t="s">
        <v>386</v>
      </c>
      <c r="D119" s="19"/>
      <c r="E119" s="19"/>
      <c r="F119" s="19"/>
      <c r="G119" s="19"/>
      <c r="H119" s="19"/>
      <c r="I119" s="19"/>
      <c r="J119" s="19"/>
      <c r="K119" s="19"/>
      <c r="L119" s="19"/>
      <c r="M119" s="19"/>
      <c r="N119" s="19"/>
      <c r="O119" s="19"/>
      <c r="P119" s="19"/>
      <c r="Q119" s="19"/>
      <c r="R119" s="19"/>
      <c r="S119" s="19"/>
      <c r="T119" s="19"/>
      <c r="U119" s="19"/>
      <c r="V119" s="19"/>
      <c r="W119" s="19"/>
    </row>
    <row r="120" spans="1:23" ht="15">
      <c r="A120" s="19"/>
      <c r="B120" s="5" t="s">
        <v>132</v>
      </c>
      <c r="C120" s="136" t="s">
        <v>386</v>
      </c>
      <c r="D120" s="19"/>
      <c r="E120" s="19"/>
      <c r="F120" s="19"/>
      <c r="G120" s="19"/>
      <c r="H120" s="19"/>
      <c r="I120" s="19"/>
      <c r="J120" s="19"/>
      <c r="K120" s="19"/>
      <c r="L120" s="19"/>
      <c r="M120" s="19"/>
      <c r="N120" s="19"/>
      <c r="O120" s="19"/>
      <c r="P120" s="19"/>
      <c r="Q120" s="19"/>
      <c r="R120" s="19"/>
      <c r="S120" s="19"/>
      <c r="T120" s="19"/>
      <c r="U120" s="19"/>
      <c r="V120" s="19"/>
      <c r="W120" s="19"/>
    </row>
    <row r="121" spans="1:23" ht="15">
      <c r="A121" s="19"/>
      <c r="B121" s="5" t="s">
        <v>136</v>
      </c>
      <c r="C121" s="136" t="s">
        <v>1113</v>
      </c>
      <c r="D121" s="19"/>
      <c r="E121" s="19"/>
      <c r="F121" s="19"/>
      <c r="G121" s="19"/>
      <c r="H121" s="19"/>
      <c r="I121" s="19"/>
      <c r="J121" s="19"/>
      <c r="K121" s="19"/>
      <c r="L121" s="19"/>
      <c r="M121" s="19"/>
      <c r="N121" s="19"/>
      <c r="O121" s="19"/>
      <c r="P121" s="19"/>
      <c r="Q121" s="19"/>
      <c r="R121" s="19"/>
      <c r="S121" s="19"/>
      <c r="T121" s="19"/>
      <c r="U121" s="19"/>
      <c r="V121" s="19"/>
      <c r="W121" s="19"/>
    </row>
    <row r="122" spans="1:23" ht="30">
      <c r="A122" s="19"/>
      <c r="B122" s="5" t="s">
        <v>140</v>
      </c>
      <c r="C122" s="136" t="s">
        <v>1138</v>
      </c>
      <c r="D122" s="19"/>
      <c r="E122" s="19"/>
      <c r="F122" s="19"/>
      <c r="G122" s="19"/>
      <c r="H122" s="19"/>
      <c r="I122" s="19"/>
      <c r="J122" s="19"/>
      <c r="K122" s="19"/>
      <c r="L122" s="19"/>
      <c r="M122" s="19"/>
      <c r="N122" s="19"/>
      <c r="O122" s="19"/>
      <c r="P122" s="19"/>
      <c r="Q122" s="19"/>
      <c r="R122" s="19"/>
      <c r="S122" s="19"/>
      <c r="T122" s="19"/>
      <c r="U122" s="19"/>
      <c r="V122" s="19"/>
      <c r="W122" s="19"/>
    </row>
    <row r="123" spans="1:23" ht="30">
      <c r="A123" s="19"/>
      <c r="B123" s="5" t="s">
        <v>144</v>
      </c>
      <c r="C123" s="55" t="s">
        <v>1706</v>
      </c>
      <c r="D123" s="19"/>
      <c r="E123" s="19"/>
      <c r="F123" s="19"/>
      <c r="G123" s="19"/>
      <c r="H123" s="19"/>
      <c r="I123" s="19"/>
      <c r="J123" s="19"/>
      <c r="K123" s="19"/>
      <c r="L123" s="19"/>
      <c r="M123" s="19"/>
      <c r="N123" s="19"/>
      <c r="O123" s="19"/>
      <c r="P123" s="19"/>
      <c r="Q123" s="19"/>
      <c r="R123" s="19"/>
      <c r="S123" s="19"/>
      <c r="T123" s="19"/>
      <c r="U123" s="19"/>
      <c r="V123" s="19"/>
      <c r="W123" s="19"/>
    </row>
    <row r="124" spans="1:23" ht="60">
      <c r="A124" s="19"/>
      <c r="B124" s="5" t="s">
        <v>147</v>
      </c>
      <c r="C124" s="136" t="s">
        <v>1184</v>
      </c>
      <c r="D124" s="19"/>
      <c r="E124" s="19"/>
      <c r="F124" s="19"/>
      <c r="G124" s="19"/>
      <c r="H124" s="19"/>
      <c r="I124" s="19"/>
      <c r="J124" s="19"/>
      <c r="K124" s="19"/>
      <c r="L124" s="19"/>
      <c r="M124" s="19"/>
      <c r="N124" s="19"/>
      <c r="O124" s="19"/>
      <c r="P124" s="19"/>
      <c r="Q124" s="19"/>
      <c r="R124" s="19"/>
      <c r="S124" s="19"/>
      <c r="T124" s="19"/>
      <c r="U124" s="19"/>
      <c r="V124" s="19"/>
      <c r="W124" s="19"/>
    </row>
    <row r="125" spans="1:23" ht="45">
      <c r="A125" s="19"/>
      <c r="B125" s="5" t="s">
        <v>151</v>
      </c>
      <c r="C125" s="136" t="s">
        <v>1205</v>
      </c>
      <c r="D125" s="19"/>
      <c r="E125" s="19"/>
      <c r="F125" s="19"/>
      <c r="G125" s="19"/>
      <c r="H125" s="19"/>
      <c r="I125" s="19"/>
      <c r="J125" s="19"/>
      <c r="K125" s="19"/>
      <c r="L125" s="19"/>
      <c r="M125" s="19"/>
      <c r="N125" s="19"/>
      <c r="O125" s="19"/>
      <c r="P125" s="19"/>
      <c r="Q125" s="19"/>
      <c r="R125" s="19"/>
      <c r="S125" s="19"/>
      <c r="T125" s="19"/>
      <c r="U125" s="19"/>
      <c r="V125" s="19"/>
      <c r="W125" s="19"/>
    </row>
    <row r="126" spans="1:23" ht="15">
      <c r="A126" s="19"/>
      <c r="B126" s="5" t="s">
        <v>155</v>
      </c>
      <c r="C126" s="136" t="s">
        <v>1229</v>
      </c>
      <c r="D126" s="19"/>
      <c r="E126" s="19"/>
      <c r="F126" s="19"/>
      <c r="G126" s="19"/>
      <c r="H126" s="19"/>
      <c r="I126" s="19"/>
      <c r="J126" s="19"/>
      <c r="K126" s="19"/>
      <c r="L126" s="19"/>
      <c r="M126" s="19"/>
      <c r="N126" s="19"/>
      <c r="O126" s="19"/>
      <c r="P126" s="19"/>
      <c r="Q126" s="19"/>
      <c r="R126" s="19"/>
      <c r="S126" s="19"/>
      <c r="T126" s="19"/>
      <c r="U126" s="19"/>
      <c r="V126" s="19"/>
      <c r="W126" s="19"/>
    </row>
    <row r="127" spans="1:23" ht="15">
      <c r="A127" s="19"/>
      <c r="B127" s="5" t="s">
        <v>159</v>
      </c>
      <c r="C127" s="136" t="s">
        <v>1250</v>
      </c>
      <c r="D127" s="19"/>
      <c r="E127" s="19"/>
      <c r="F127" s="19"/>
      <c r="G127" s="19"/>
      <c r="H127" s="19"/>
      <c r="I127" s="19"/>
      <c r="J127" s="19"/>
      <c r="K127" s="19"/>
      <c r="L127" s="19"/>
      <c r="M127" s="19"/>
      <c r="N127" s="19"/>
      <c r="O127" s="19"/>
      <c r="P127" s="19"/>
      <c r="Q127" s="19"/>
      <c r="R127" s="19"/>
      <c r="S127" s="19"/>
      <c r="T127" s="19"/>
      <c r="U127" s="19"/>
      <c r="V127" s="19"/>
      <c r="W127" s="19"/>
    </row>
    <row r="128" spans="1:23" ht="15">
      <c r="A128" s="19"/>
      <c r="B128" s="5" t="s">
        <v>163</v>
      </c>
      <c r="C128" s="136" t="s">
        <v>386</v>
      </c>
      <c r="D128" s="19"/>
      <c r="E128" s="19"/>
      <c r="F128" s="19"/>
      <c r="G128" s="19"/>
      <c r="H128" s="19"/>
      <c r="I128" s="19"/>
      <c r="J128" s="19"/>
      <c r="K128" s="19"/>
      <c r="L128" s="19"/>
      <c r="M128" s="19"/>
      <c r="N128" s="19"/>
      <c r="O128" s="19"/>
      <c r="P128" s="19"/>
      <c r="Q128" s="19"/>
      <c r="R128" s="19"/>
      <c r="S128" s="19"/>
      <c r="T128" s="19"/>
      <c r="U128" s="19"/>
      <c r="V128" s="19"/>
      <c r="W128" s="19"/>
    </row>
    <row r="129" spans="1:23" ht="15">
      <c r="A129" s="19"/>
      <c r="B129" s="5" t="s">
        <v>168</v>
      </c>
      <c r="C129" s="136" t="s">
        <v>1622</v>
      </c>
      <c r="D129" s="19"/>
      <c r="E129" s="19"/>
      <c r="F129" s="19"/>
      <c r="G129" s="19"/>
      <c r="H129" s="19"/>
      <c r="I129" s="19"/>
      <c r="J129" s="19"/>
      <c r="K129" s="19"/>
      <c r="L129" s="19"/>
      <c r="M129" s="19"/>
      <c r="N129" s="19"/>
      <c r="O129" s="19"/>
      <c r="P129" s="19"/>
      <c r="Q129" s="19"/>
      <c r="R129" s="19"/>
      <c r="S129" s="19"/>
      <c r="T129" s="19"/>
      <c r="U129" s="19"/>
      <c r="V129" s="19"/>
      <c r="W129" s="19"/>
    </row>
    <row r="130" spans="1:23" ht="30">
      <c r="B130" s="5" t="s">
        <v>172</v>
      </c>
      <c r="C130" s="136" t="s">
        <v>1306</v>
      </c>
      <c r="I130" s="19"/>
      <c r="J130" s="19"/>
      <c r="K130" s="19"/>
    </row>
    <row r="131" spans="1:23" ht="15">
      <c r="B131" s="5" t="s">
        <v>176</v>
      </c>
      <c r="C131" s="55" t="s">
        <v>386</v>
      </c>
      <c r="I131" s="19"/>
      <c r="J131" s="19"/>
      <c r="K131" s="19"/>
    </row>
    <row r="132" spans="1:23" ht="15">
      <c r="B132" s="5" t="s">
        <v>180</v>
      </c>
      <c r="C132" s="136" t="s">
        <v>1345</v>
      </c>
      <c r="I132" s="19"/>
      <c r="J132" s="19"/>
      <c r="K132" s="19"/>
    </row>
    <row r="133" spans="1:23" ht="15">
      <c r="B133" s="5" t="s">
        <v>184</v>
      </c>
      <c r="C133" s="136" t="s">
        <v>1724</v>
      </c>
    </row>
    <row r="134" spans="1:23" ht="15">
      <c r="B134" s="5" t="s">
        <v>188</v>
      </c>
      <c r="C134" s="55" t="s">
        <v>1724</v>
      </c>
    </row>
  </sheetData>
  <mergeCells count="36">
    <mergeCell ref="B2:D4"/>
    <mergeCell ref="G2:I4"/>
    <mergeCell ref="L2:O4"/>
    <mergeCell ref="R2:U4"/>
    <mergeCell ref="B5:D5"/>
    <mergeCell ref="L5:N5"/>
    <mergeCell ref="R5:U5"/>
    <mergeCell ref="P60:V60"/>
    <mergeCell ref="G5:I5"/>
    <mergeCell ref="B32:I34"/>
    <mergeCell ref="L32:V34"/>
    <mergeCell ref="B38:B44"/>
    <mergeCell ref="L38:L51"/>
    <mergeCell ref="B45:B51"/>
    <mergeCell ref="B52:B56"/>
    <mergeCell ref="L52:L55"/>
    <mergeCell ref="L56:L59"/>
    <mergeCell ref="L60:L61"/>
    <mergeCell ref="B84:C86"/>
    <mergeCell ref="I85:I100"/>
    <mergeCell ref="B87:C87"/>
    <mergeCell ref="B57:B58"/>
    <mergeCell ref="B59:B60"/>
    <mergeCell ref="F60:K60"/>
    <mergeCell ref="I115:I118"/>
    <mergeCell ref="R70:S70"/>
    <mergeCell ref="R71:S71"/>
    <mergeCell ref="R72:S72"/>
    <mergeCell ref="I69:J69"/>
    <mergeCell ref="I70:I84"/>
    <mergeCell ref="I64:K66"/>
    <mergeCell ref="M64:N66"/>
    <mergeCell ref="P64:S66"/>
    <mergeCell ref="R69:S69"/>
    <mergeCell ref="M98:M101"/>
    <mergeCell ref="I101:I1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Included Papers List</vt:lpstr>
      <vt:lpstr>Form responses 1</vt:lpstr>
      <vt:lpstr>Data Extracted by Hira</vt:lpstr>
      <vt:lpstr>CleanedData</vt:lpstr>
      <vt:lpstr>Quality Assesment</vt:lpstr>
      <vt:lpstr>Publication Trends</vt:lpstr>
      <vt:lpstr>RQ1 Motivations and Goals</vt:lpstr>
      <vt:lpstr>RQ2 MDE approaches for ML</vt:lpstr>
      <vt:lpstr>RQ3 Evaluation &amp; Tools</vt:lpstr>
      <vt:lpstr>RQ4 Limitations &amp; Challenges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Hira Naveed</cp:lastModifiedBy>
  <dcterms:modified xsi:type="dcterms:W3CDTF">2023-10-31T04:50:15Z</dcterms:modified>
</cp:coreProperties>
</file>