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F:\FSA\"/>
    </mc:Choice>
  </mc:AlternateContent>
  <xr:revisionPtr revIDLastSave="0" documentId="8_{CC22660D-20FF-444A-B99D-D8CB4CC905E8}" xr6:coauthVersionLast="47" xr6:coauthVersionMax="47" xr10:uidLastSave="{00000000-0000-0000-0000-000000000000}"/>
  <bookViews>
    <workbookView xWindow="-108" yWindow="-108" windowWidth="23256" windowHeight="12576" activeTab="1" xr2:uid="{1E9A636B-D26F-41EA-A539-A081E7A59D13}"/>
  </bookViews>
  <sheets>
    <sheet name="Financial Statement Analysis" sheetId="7" r:id="rId1"/>
    <sheet name="Multiple Method" sheetId="8" r:id="rId2"/>
    <sheet name="Valuations" sheetId="10"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3" i="10" l="1"/>
  <c r="F143" i="10"/>
  <c r="G144" i="10" s="1"/>
  <c r="E143" i="10"/>
  <c r="B142" i="10"/>
  <c r="B140" i="10"/>
  <c r="B134" i="10"/>
  <c r="A134" i="10"/>
  <c r="D126" i="10"/>
  <c r="B126" i="10"/>
  <c r="B123" i="10"/>
  <c r="B112" i="10"/>
  <c r="B109" i="10"/>
  <c r="B108" i="10"/>
  <c r="C105" i="10" s="1"/>
  <c r="B68" i="10" s="1"/>
  <c r="B73" i="10" s="1"/>
  <c r="E107" i="10"/>
  <c r="D107" i="10"/>
  <c r="C107" i="10"/>
  <c r="C57" i="10" s="1"/>
  <c r="F106" i="10"/>
  <c r="G106" i="10" s="1"/>
  <c r="E106" i="10"/>
  <c r="D106" i="10"/>
  <c r="C106" i="10"/>
  <c r="B103" i="10"/>
  <c r="E102" i="10"/>
  <c r="D102" i="10"/>
  <c r="C102" i="10"/>
  <c r="C103" i="10" s="1"/>
  <c r="D100" i="10" s="1"/>
  <c r="C22" i="10" s="1"/>
  <c r="F101" i="10"/>
  <c r="G101" i="10" s="1"/>
  <c r="E101" i="10"/>
  <c r="D101" i="10"/>
  <c r="C101" i="10"/>
  <c r="C100" i="10"/>
  <c r="B22" i="10" s="1"/>
  <c r="B27" i="10" s="1"/>
  <c r="B98" i="10"/>
  <c r="B91" i="10"/>
  <c r="A89" i="10"/>
  <c r="A117" i="10" s="1"/>
  <c r="A88" i="10"/>
  <c r="E81" i="10"/>
  <c r="D81" i="10"/>
  <c r="C81" i="10"/>
  <c r="E80" i="10"/>
  <c r="D80" i="10"/>
  <c r="C80" i="10"/>
  <c r="C79" i="10"/>
  <c r="B79" i="10"/>
  <c r="A79" i="10"/>
  <c r="A76" i="10"/>
  <c r="A75" i="10"/>
  <c r="E67" i="10"/>
  <c r="D67" i="10"/>
  <c r="C67" i="10"/>
  <c r="C66" i="10"/>
  <c r="B66" i="10"/>
  <c r="A66" i="10"/>
  <c r="A63" i="10"/>
  <c r="A62" i="10"/>
  <c r="E57" i="10"/>
  <c r="D58" i="10" s="1"/>
  <c r="D57" i="10"/>
  <c r="C56" i="10"/>
  <c r="B56" i="10"/>
  <c r="A56" i="10"/>
  <c r="B45" i="10"/>
  <c r="A43" i="10"/>
  <c r="D42" i="10"/>
  <c r="E36" i="10"/>
  <c r="D36" i="10"/>
  <c r="C36" i="10"/>
  <c r="E35" i="10"/>
  <c r="D35" i="10"/>
  <c r="C37" i="10" s="1"/>
  <c r="C35" i="10"/>
  <c r="B41" i="10" s="1"/>
  <c r="C34" i="10"/>
  <c r="B34" i="10"/>
  <c r="A34" i="10"/>
  <c r="A29" i="10"/>
  <c r="D28" i="10"/>
  <c r="A28" i="10"/>
  <c r="A42" i="10" s="1"/>
  <c r="F21" i="10"/>
  <c r="E21" i="10"/>
  <c r="D21" i="10"/>
  <c r="C21" i="10"/>
  <c r="B20" i="10"/>
  <c r="A20" i="10"/>
  <c r="E12" i="10"/>
  <c r="D13" i="10" s="1"/>
  <c r="D12" i="10"/>
  <c r="C12" i="10"/>
  <c r="C11" i="10"/>
  <c r="B11" i="10"/>
  <c r="B8" i="10"/>
  <c r="B6" i="10"/>
  <c r="I2" i="10"/>
  <c r="H2" i="10"/>
  <c r="G2" i="10"/>
  <c r="F2" i="10"/>
  <c r="E2" i="10"/>
  <c r="D2" i="10"/>
  <c r="C2" i="10"/>
  <c r="D1" i="10"/>
  <c r="D56" i="10" s="1"/>
  <c r="C1" i="10"/>
  <c r="C20" i="10" s="1"/>
  <c r="D103" i="10" l="1"/>
  <c r="E100" i="10" s="1"/>
  <c r="D22" i="10" s="1"/>
  <c r="E103" i="10"/>
  <c r="D23" i="10"/>
  <c r="D46" i="10" s="1"/>
  <c r="C47" i="10" s="1"/>
  <c r="G35" i="10"/>
  <c r="G21" i="10"/>
  <c r="H101" i="10"/>
  <c r="H106" i="10"/>
  <c r="G80" i="10"/>
  <c r="G67" i="10"/>
  <c r="C108" i="10"/>
  <c r="D105" i="10" s="1"/>
  <c r="C68" i="10" s="1"/>
  <c r="E1" i="10"/>
  <c r="D11" i="10"/>
  <c r="D34" i="10"/>
  <c r="B61" i="10"/>
  <c r="B127" i="10" s="1"/>
  <c r="D66" i="10"/>
  <c r="F67" i="10"/>
  <c r="D79" i="10"/>
  <c r="C91" i="10"/>
  <c r="C23" i="10"/>
  <c r="C46" i="10" s="1"/>
  <c r="F35" i="10"/>
  <c r="E37" i="10" s="1"/>
  <c r="C45" i="10"/>
  <c r="F80" i="10"/>
  <c r="D91" i="10"/>
  <c r="B116" i="10"/>
  <c r="B117" i="10" s="1"/>
  <c r="D45" i="10"/>
  <c r="B128" i="10"/>
  <c r="C128" i="10" s="1"/>
  <c r="D20" i="10"/>
  <c r="E23" i="10"/>
  <c r="C98" i="10"/>
  <c r="D98" i="10"/>
  <c r="D37" i="10"/>
  <c r="I106" i="10" l="1"/>
  <c r="H80" i="10"/>
  <c r="H67" i="10"/>
  <c r="D108" i="10"/>
  <c r="E105" i="10" s="1"/>
  <c r="F100" i="10"/>
  <c r="E22" i="10" s="1"/>
  <c r="F23" i="10" s="1"/>
  <c r="F103" i="10"/>
  <c r="C126" i="10"/>
  <c r="D128" i="10" s="1"/>
  <c r="B53" i="10" s="1"/>
  <c r="H35" i="10"/>
  <c r="H21" i="10"/>
  <c r="I101" i="10"/>
  <c r="I35" i="10" s="1"/>
  <c r="E46" i="10"/>
  <c r="D47" i="10" s="1"/>
  <c r="D24" i="10"/>
  <c r="C127" i="10"/>
  <c r="E98" i="10"/>
  <c r="E45" i="10"/>
  <c r="E91" i="10"/>
  <c r="E79" i="10"/>
  <c r="A84" i="10" s="1"/>
  <c r="E66" i="10"/>
  <c r="A71" i="10" s="1"/>
  <c r="E34" i="10"/>
  <c r="E11" i="10"/>
  <c r="F1" i="10"/>
  <c r="E56" i="10"/>
  <c r="A59" i="10" s="1"/>
  <c r="E20" i="10"/>
  <c r="D38" i="10"/>
  <c r="E82" i="10" l="1"/>
  <c r="G103" i="10"/>
  <c r="G100" i="10"/>
  <c r="A25" i="10"/>
  <c r="D68" i="10"/>
  <c r="E108" i="10"/>
  <c r="F105" i="10" s="1"/>
  <c r="F46" i="10"/>
  <c r="E47" i="10" s="1"/>
  <c r="E24" i="10"/>
  <c r="F98" i="10"/>
  <c r="F45" i="10"/>
  <c r="F91" i="10"/>
  <c r="F79" i="10"/>
  <c r="F66" i="10"/>
  <c r="F34" i="10"/>
  <c r="F11" i="10"/>
  <c r="G1" i="10"/>
  <c r="F20" i="10"/>
  <c r="F56" i="10"/>
  <c r="A39" i="10"/>
  <c r="A14" i="10"/>
  <c r="A116" i="10" s="1"/>
  <c r="D82" i="10"/>
  <c r="D69" i="10"/>
  <c r="C92" i="10" s="1"/>
  <c r="C69" i="10"/>
  <c r="E69" i="10"/>
  <c r="B86" i="10"/>
  <c r="C82" i="10"/>
  <c r="F102" i="10"/>
  <c r="I80" i="10"/>
  <c r="E68" i="10" l="1"/>
  <c r="F69" i="10" s="1"/>
  <c r="F108" i="10"/>
  <c r="H103" i="10"/>
  <c r="H102" i="10" s="1"/>
  <c r="D83" i="10"/>
  <c r="H99" i="10"/>
  <c r="H104" i="10"/>
  <c r="F36" i="10"/>
  <c r="F37" i="10" s="1"/>
  <c r="F12" i="10"/>
  <c r="F22" i="10"/>
  <c r="G23" i="10" s="1"/>
  <c r="H100" i="10"/>
  <c r="B141" i="10"/>
  <c r="B144" i="10" s="1"/>
  <c r="D92" i="10"/>
  <c r="D70" i="10"/>
  <c r="G45" i="10"/>
  <c r="G91" i="10"/>
  <c r="G79" i="10"/>
  <c r="G66" i="10"/>
  <c r="G34" i="10"/>
  <c r="G11" i="10"/>
  <c r="H1" i="10"/>
  <c r="G20" i="10"/>
  <c r="G56" i="10"/>
  <c r="G98" i="10"/>
  <c r="G102" i="10"/>
  <c r="H36" i="10" l="1"/>
  <c r="H37" i="10" s="1"/>
  <c r="G38" i="10" s="1"/>
  <c r="H12" i="10"/>
  <c r="G13" i="10" s="1"/>
  <c r="H45" i="10"/>
  <c r="H79" i="10"/>
  <c r="H66" i="10"/>
  <c r="H34" i="10"/>
  <c r="H11" i="10"/>
  <c r="I1" i="10"/>
  <c r="H20" i="10"/>
  <c r="H56" i="10"/>
  <c r="H98" i="10"/>
  <c r="G36" i="10"/>
  <c r="G37" i="10" s="1"/>
  <c r="F38" i="10" s="1"/>
  <c r="G12" i="10"/>
  <c r="F13" i="10" s="1"/>
  <c r="I100" i="10"/>
  <c r="H22" i="10" s="1"/>
  <c r="G22" i="10"/>
  <c r="H23" i="10" s="1"/>
  <c r="I103" i="10"/>
  <c r="I102" i="10" s="1"/>
  <c r="I36" i="10" s="1"/>
  <c r="G46" i="10"/>
  <c r="F47" i="10" s="1"/>
  <c r="F24" i="10"/>
  <c r="E25" i="10" s="1"/>
  <c r="G105" i="10"/>
  <c r="F107" i="10"/>
  <c r="E13" i="10"/>
  <c r="E14" i="10"/>
  <c r="E70" i="10"/>
  <c r="E92" i="10"/>
  <c r="E38" i="10"/>
  <c r="E39" i="10"/>
  <c r="B15" i="10" l="1"/>
  <c r="B16" i="10" s="1"/>
  <c r="H46" i="10"/>
  <c r="G47" i="10" s="1"/>
  <c r="G24" i="10"/>
  <c r="I79" i="10"/>
  <c r="I34" i="10"/>
  <c r="I98" i="10"/>
  <c r="F57" i="10"/>
  <c r="F81" i="10"/>
  <c r="F82" i="10" s="1"/>
  <c r="B40" i="10"/>
  <c r="B42" i="10" s="1"/>
  <c r="B43" i="10" s="1"/>
  <c r="E42" i="10"/>
  <c r="G108" i="10"/>
  <c r="F68" i="10"/>
  <c r="G69" i="10" s="1"/>
  <c r="B26" i="10"/>
  <c r="B28" i="10" s="1"/>
  <c r="B29" i="10" s="1"/>
  <c r="E28" i="10" l="1"/>
  <c r="F70" i="10"/>
  <c r="E71" i="10" s="1"/>
  <c r="B72" i="10" s="1"/>
  <c r="B74" i="10" s="1"/>
  <c r="B75" i="10" s="1"/>
  <c r="B76" i="10" s="1"/>
  <c r="F92" i="10"/>
  <c r="E58" i="10"/>
  <c r="H105" i="10"/>
  <c r="G107" i="10"/>
  <c r="E15" i="10"/>
  <c r="E83" i="10"/>
  <c r="H108" i="10" l="1"/>
  <c r="G68" i="10"/>
  <c r="H69" i="10" s="1"/>
  <c r="G81" i="10"/>
  <c r="G82" i="10" s="1"/>
  <c r="F83" i="10" s="1"/>
  <c r="E84" i="10" s="1"/>
  <c r="B85" i="10" s="1"/>
  <c r="B87" i="10" s="1"/>
  <c r="B88" i="10" s="1"/>
  <c r="B89" i="10" s="1"/>
  <c r="G57" i="10"/>
  <c r="F58" i="10" s="1"/>
  <c r="E59" i="10" s="1"/>
  <c r="B60" i="10" s="1"/>
  <c r="B62" i="10" s="1"/>
  <c r="B63" i="10" s="1"/>
  <c r="G70" i="10" l="1"/>
  <c r="G92" i="10"/>
  <c r="I105" i="10"/>
  <c r="H107" i="10"/>
  <c r="H81" i="10" l="1"/>
  <c r="H82" i="10" s="1"/>
  <c r="G83" i="10" s="1"/>
  <c r="H57" i="10"/>
  <c r="G58" i="10" s="1"/>
  <c r="I108" i="10"/>
  <c r="I107" i="10" s="1"/>
  <c r="I81" i="10" s="1"/>
  <c r="H68" i="10"/>
  <c r="E82" i="8" l="1"/>
  <c r="G82" i="8" s="1"/>
  <c r="E80" i="8"/>
  <c r="G80" i="8" s="1"/>
  <c r="E78" i="8"/>
  <c r="G78" i="8" s="1"/>
  <c r="B65" i="8"/>
  <c r="B70" i="8" s="1"/>
  <c r="B64" i="8"/>
  <c r="B69" i="8" s="1"/>
  <c r="B63" i="8"/>
  <c r="B68" i="8" s="1"/>
  <c r="B60" i="8"/>
  <c r="B59" i="8"/>
  <c r="B58" i="8"/>
  <c r="I48" i="8"/>
  <c r="F48" i="8"/>
  <c r="C45" i="8"/>
  <c r="C44" i="8"/>
  <c r="C43" i="8"/>
  <c r="C42" i="8"/>
  <c r="C41" i="8"/>
  <c r="C40" i="8"/>
  <c r="C39" i="8"/>
  <c r="C38" i="8"/>
  <c r="C37" i="8"/>
  <c r="J36" i="8"/>
  <c r="I36" i="8"/>
  <c r="H36" i="8"/>
  <c r="G36" i="8"/>
  <c r="F36" i="8"/>
  <c r="E36" i="8"/>
  <c r="D36" i="8"/>
  <c r="J33" i="8"/>
  <c r="J45" i="8" s="1"/>
  <c r="I33" i="8"/>
  <c r="I45" i="8" s="1"/>
  <c r="C33" i="8"/>
  <c r="J32" i="8"/>
  <c r="J44" i="8" s="1"/>
  <c r="I32" i="8"/>
  <c r="I44" i="8" s="1"/>
  <c r="C32" i="8"/>
  <c r="J31" i="8"/>
  <c r="J43" i="8" s="1"/>
  <c r="I31" i="8"/>
  <c r="I43" i="8" s="1"/>
  <c r="C31" i="8"/>
  <c r="J30" i="8"/>
  <c r="J42" i="8" s="1"/>
  <c r="I30" i="8"/>
  <c r="I42" i="8" s="1"/>
  <c r="C30" i="8"/>
  <c r="J29" i="8"/>
  <c r="J41" i="8" s="1"/>
  <c r="I29" i="8"/>
  <c r="I41" i="8" s="1"/>
  <c r="C29" i="8"/>
  <c r="J28" i="8"/>
  <c r="J40" i="8" s="1"/>
  <c r="I28" i="8"/>
  <c r="I40" i="8" s="1"/>
  <c r="C28" i="8"/>
  <c r="J27" i="8"/>
  <c r="J39" i="8" s="1"/>
  <c r="I27" i="8"/>
  <c r="I39" i="8" s="1"/>
  <c r="H27" i="8"/>
  <c r="H39" i="8" s="1"/>
  <c r="G27" i="8"/>
  <c r="F27" i="8"/>
  <c r="E27" i="8"/>
  <c r="C27" i="8"/>
  <c r="J26" i="8"/>
  <c r="J38" i="8" s="1"/>
  <c r="I26" i="8"/>
  <c r="I38" i="8" s="1"/>
  <c r="C26" i="8"/>
  <c r="J25" i="8"/>
  <c r="J37" i="8" s="1"/>
  <c r="I25" i="8"/>
  <c r="I37" i="8" s="1"/>
  <c r="C25" i="8"/>
  <c r="C24" i="8"/>
  <c r="I22" i="8"/>
  <c r="F22" i="8"/>
  <c r="L17" i="8"/>
  <c r="K17" i="8"/>
  <c r="G33" i="8" s="1"/>
  <c r="J17" i="8"/>
  <c r="F33" i="8" s="1"/>
  <c r="I17" i="8"/>
  <c r="G17" i="8"/>
  <c r="D45" i="8" s="1"/>
  <c r="L16" i="8"/>
  <c r="H32" i="8" s="1"/>
  <c r="H44" i="8" s="1"/>
  <c r="K16" i="8"/>
  <c r="G32" i="8" s="1"/>
  <c r="J16" i="8"/>
  <c r="F32" i="8" s="1"/>
  <c r="I16" i="8"/>
  <c r="E32" i="8" s="1"/>
  <c r="G16" i="8"/>
  <c r="L15" i="8"/>
  <c r="K15" i="8"/>
  <c r="G31" i="8" s="1"/>
  <c r="J15" i="8"/>
  <c r="F31" i="8" s="1"/>
  <c r="I15" i="8"/>
  <c r="G15" i="8"/>
  <c r="D43" i="8" s="1"/>
  <c r="L14" i="8"/>
  <c r="H30" i="8" s="1"/>
  <c r="H42" i="8" s="1"/>
  <c r="K14" i="8"/>
  <c r="G30" i="8" s="1"/>
  <c r="J14" i="8"/>
  <c r="F30" i="8" s="1"/>
  <c r="I14" i="8"/>
  <c r="G14" i="8"/>
  <c r="L13" i="8"/>
  <c r="H29" i="8" s="1"/>
  <c r="H41" i="8" s="1"/>
  <c r="K13" i="8"/>
  <c r="G29" i="8" s="1"/>
  <c r="J13" i="8"/>
  <c r="F29" i="8" s="1"/>
  <c r="I13" i="8"/>
  <c r="D41" i="8" s="1"/>
  <c r="H13" i="8"/>
  <c r="G13" i="8"/>
  <c r="L12" i="8"/>
  <c r="H28" i="8" s="1"/>
  <c r="H40" i="8" s="1"/>
  <c r="K12" i="8"/>
  <c r="G28" i="8" s="1"/>
  <c r="J12" i="8"/>
  <c r="F28" i="8" s="1"/>
  <c r="I12" i="8"/>
  <c r="H12" i="8"/>
  <c r="G12" i="8"/>
  <c r="D40" i="8" s="1"/>
  <c r="G11" i="8"/>
  <c r="D39" i="8" s="1"/>
  <c r="G39" i="8" s="1"/>
  <c r="L10" i="8"/>
  <c r="H26" i="8" s="1"/>
  <c r="H38" i="8" s="1"/>
  <c r="K10" i="8"/>
  <c r="G26" i="8" s="1"/>
  <c r="J10" i="8"/>
  <c r="F26" i="8" s="1"/>
  <c r="I10" i="8"/>
  <c r="D38" i="8" s="1"/>
  <c r="G10" i="8"/>
  <c r="L9" i="8"/>
  <c r="K9" i="8"/>
  <c r="G25" i="8" s="1"/>
  <c r="J9" i="8"/>
  <c r="F25" i="8" s="1"/>
  <c r="I9" i="8"/>
  <c r="G9" i="8"/>
  <c r="D37" i="8" s="1"/>
  <c r="N8" i="8"/>
  <c r="J24" i="8" s="1"/>
  <c r="J52" i="8" s="1"/>
  <c r="M8" i="8"/>
  <c r="I24" i="8" s="1"/>
  <c r="I52" i="8" s="1"/>
  <c r="L8" i="8"/>
  <c r="H24" i="8" s="1"/>
  <c r="H52" i="8" s="1"/>
  <c r="K8" i="8"/>
  <c r="G24" i="8" s="1"/>
  <c r="G52" i="8" s="1"/>
  <c r="J8" i="8"/>
  <c r="F24" i="8" s="1"/>
  <c r="F52" i="8" s="1"/>
  <c r="I8" i="8"/>
  <c r="E53" i="8" s="1"/>
  <c r="G8" i="8"/>
  <c r="M3" i="8"/>
  <c r="J3" i="8"/>
  <c r="F3" i="8"/>
  <c r="AC231" i="7"/>
  <c r="AC238" i="7" s="1"/>
  <c r="AC230" i="7"/>
  <c r="AB230" i="7"/>
  <c r="AA230" i="7"/>
  <c r="AB225" i="7"/>
  <c r="AC224" i="7"/>
  <c r="AB224" i="7"/>
  <c r="AA224" i="7"/>
  <c r="X216" i="7"/>
  <c r="AA213" i="7"/>
  <c r="AB212" i="7"/>
  <c r="AA212" i="7"/>
  <c r="T212" i="7"/>
  <c r="S212" i="7"/>
  <c r="R212" i="7"/>
  <c r="T211" i="7"/>
  <c r="S211" i="7"/>
  <c r="S213" i="7" s="1"/>
  <c r="K59" i="7" s="1"/>
  <c r="R211" i="7"/>
  <c r="T208" i="7"/>
  <c r="L57" i="7" s="1"/>
  <c r="S208" i="7"/>
  <c r="T207" i="7"/>
  <c r="S207" i="7"/>
  <c r="AB205" i="7"/>
  <c r="AB213" i="7" s="1"/>
  <c r="AA205" i="7"/>
  <c r="S200" i="7" s="1"/>
  <c r="R200" i="7"/>
  <c r="T198" i="7"/>
  <c r="S198" i="7"/>
  <c r="AB197" i="7"/>
  <c r="AA197" i="7"/>
  <c r="T196" i="7"/>
  <c r="S196" i="7"/>
  <c r="T195" i="7"/>
  <c r="S195" i="7"/>
  <c r="T194" i="7"/>
  <c r="S194" i="7"/>
  <c r="R194" i="7"/>
  <c r="R191" i="7"/>
  <c r="T190" i="7"/>
  <c r="S190" i="7"/>
  <c r="T189" i="7"/>
  <c r="S189" i="7"/>
  <c r="T188" i="7"/>
  <c r="S188" i="7"/>
  <c r="AB186" i="7"/>
  <c r="AA186" i="7"/>
  <c r="T185" i="7"/>
  <c r="S185" i="7"/>
  <c r="R185" i="7"/>
  <c r="R184" i="7"/>
  <c r="T183" i="7"/>
  <c r="S183" i="7"/>
  <c r="R182" i="7"/>
  <c r="T181" i="7"/>
  <c r="S181" i="7"/>
  <c r="J181" i="7"/>
  <c r="J179" i="7"/>
  <c r="J178" i="7"/>
  <c r="J177" i="7"/>
  <c r="J176" i="7"/>
  <c r="J175" i="7"/>
  <c r="T174" i="7"/>
  <c r="S174" i="7"/>
  <c r="J174" i="7"/>
  <c r="T173" i="7"/>
  <c r="S173" i="7"/>
  <c r="T172" i="7"/>
  <c r="S172" i="7"/>
  <c r="J172" i="7"/>
  <c r="T171" i="7"/>
  <c r="S171" i="7"/>
  <c r="J171" i="7"/>
  <c r="AB170" i="7"/>
  <c r="AB198" i="7" s="1"/>
  <c r="AB201" i="7" s="1"/>
  <c r="AA170" i="7"/>
  <c r="AA198" i="7" s="1"/>
  <c r="T170" i="7"/>
  <c r="S170" i="7"/>
  <c r="J169" i="7"/>
  <c r="J168" i="7"/>
  <c r="T166" i="7"/>
  <c r="S166" i="7"/>
  <c r="R166" i="7"/>
  <c r="J166" i="7"/>
  <c r="J165" i="7"/>
  <c r="T164" i="7"/>
  <c r="S164" i="7"/>
  <c r="R164" i="7"/>
  <c r="R205" i="7" s="1"/>
  <c r="J163" i="7"/>
  <c r="X162" i="7"/>
  <c r="T162" i="7"/>
  <c r="S162" i="7"/>
  <c r="R162" i="7"/>
  <c r="J158" i="7"/>
  <c r="J157" i="7"/>
  <c r="AC156" i="7"/>
  <c r="J156" i="7"/>
  <c r="AB154" i="7"/>
  <c r="AB156" i="7" s="1"/>
  <c r="T133" i="7" s="1"/>
  <c r="AA154" i="7"/>
  <c r="AA156" i="7" s="1"/>
  <c r="S133" i="7" s="1"/>
  <c r="J154" i="7"/>
  <c r="J153" i="7"/>
  <c r="J152" i="7"/>
  <c r="J147" i="7"/>
  <c r="J146" i="7"/>
  <c r="AA144" i="7"/>
  <c r="J144" i="7"/>
  <c r="AC143" i="7"/>
  <c r="AC144" i="7" s="1"/>
  <c r="AC146" i="7" s="1"/>
  <c r="AB143" i="7"/>
  <c r="AB144" i="7" s="1"/>
  <c r="L143" i="7"/>
  <c r="K143" i="7"/>
  <c r="X136" i="7"/>
  <c r="AC135" i="7"/>
  <c r="AC137" i="7" s="1"/>
  <c r="AB135" i="7"/>
  <c r="AA135" i="7"/>
  <c r="X135" i="7"/>
  <c r="U135" i="7"/>
  <c r="T135" i="7"/>
  <c r="S135" i="7"/>
  <c r="X134" i="7"/>
  <c r="J81" i="7" s="1"/>
  <c r="X133" i="7"/>
  <c r="J80" i="7" s="1"/>
  <c r="U133" i="7"/>
  <c r="L133" i="7"/>
  <c r="K133" i="7"/>
  <c r="X132" i="7"/>
  <c r="K131" i="7"/>
  <c r="L130" i="7"/>
  <c r="K130" i="7"/>
  <c r="AC128" i="7"/>
  <c r="AC130" i="7" s="1"/>
  <c r="AB128" i="7"/>
  <c r="AA128" i="7"/>
  <c r="S106" i="7" s="1"/>
  <c r="K80" i="7" s="1"/>
  <c r="AC127" i="7"/>
  <c r="T127" i="7"/>
  <c r="AB167" i="7" s="1"/>
  <c r="L127" i="7"/>
  <c r="K127" i="7"/>
  <c r="U124" i="7"/>
  <c r="T124" i="7"/>
  <c r="S124" i="7"/>
  <c r="R124" i="7"/>
  <c r="J124" i="7"/>
  <c r="J123" i="7"/>
  <c r="J122" i="7"/>
  <c r="U121" i="7"/>
  <c r="J121" i="7"/>
  <c r="R120" i="7"/>
  <c r="J120" i="7"/>
  <c r="J119" i="7"/>
  <c r="J118" i="7"/>
  <c r="J117" i="7"/>
  <c r="J116" i="7"/>
  <c r="AB115" i="7"/>
  <c r="T128" i="7" s="1"/>
  <c r="T121" i="7" s="1"/>
  <c r="AA115" i="7"/>
  <c r="S128" i="7" s="1"/>
  <c r="S121" i="7" s="1"/>
  <c r="J115" i="7"/>
  <c r="X114" i="7"/>
  <c r="U114" i="7"/>
  <c r="U113" i="7" s="1"/>
  <c r="T114" i="7"/>
  <c r="S114" i="7"/>
  <c r="J114" i="7"/>
  <c r="J113" i="7"/>
  <c r="U112" i="7"/>
  <c r="T112" i="7"/>
  <c r="K106" i="7" s="1"/>
  <c r="S112" i="7"/>
  <c r="K86" i="7" s="1"/>
  <c r="L112" i="7"/>
  <c r="K112" i="7"/>
  <c r="J110" i="7"/>
  <c r="AC109" i="7"/>
  <c r="J109" i="7"/>
  <c r="J108" i="7"/>
  <c r="AC107" i="7"/>
  <c r="AB107" i="7"/>
  <c r="AA107" i="7"/>
  <c r="U107" i="7"/>
  <c r="T107" i="7"/>
  <c r="S107" i="7"/>
  <c r="K29" i="7" s="1"/>
  <c r="K33" i="7" s="1"/>
  <c r="J107" i="7"/>
  <c r="T106" i="7"/>
  <c r="L82" i="7" s="1"/>
  <c r="J106" i="7"/>
  <c r="AC105" i="7"/>
  <c r="J105" i="7"/>
  <c r="J133" i="7" s="1"/>
  <c r="J139" i="7" s="1"/>
  <c r="AC104" i="7"/>
  <c r="J103" i="7"/>
  <c r="J132" i="7" s="1"/>
  <c r="J138" i="7" s="1"/>
  <c r="L102" i="7"/>
  <c r="K102" i="7"/>
  <c r="J102" i="7"/>
  <c r="J131" i="7" s="1"/>
  <c r="J137" i="7" s="1"/>
  <c r="L101" i="7"/>
  <c r="K101" i="7"/>
  <c r="J101" i="7"/>
  <c r="J130" i="7" s="1"/>
  <c r="J136" i="7" s="1"/>
  <c r="L98" i="7"/>
  <c r="K98" i="7"/>
  <c r="U96" i="7"/>
  <c r="T96" i="7"/>
  <c r="S96" i="7"/>
  <c r="J96" i="7"/>
  <c r="J95" i="7"/>
  <c r="AA93" i="7"/>
  <c r="AA109" i="7" s="1"/>
  <c r="R93" i="7"/>
  <c r="J93" i="7"/>
  <c r="R92" i="7"/>
  <c r="J92" i="7"/>
  <c r="AA91" i="7"/>
  <c r="J91" i="7"/>
  <c r="J90" i="7"/>
  <c r="J89" i="7"/>
  <c r="J88" i="7"/>
  <c r="AA87" i="7"/>
  <c r="U87" i="7"/>
  <c r="T87" i="7"/>
  <c r="R87" i="7"/>
  <c r="K87" i="7"/>
  <c r="J87" i="7"/>
  <c r="AA86" i="7"/>
  <c r="S87" i="7" s="1"/>
  <c r="L86" i="7"/>
  <c r="J86" i="7"/>
  <c r="AC85" i="7"/>
  <c r="AC88" i="7" s="1"/>
  <c r="AC92" i="7" s="1"/>
  <c r="AB85" i="7"/>
  <c r="AB88" i="7" s="1"/>
  <c r="AB92" i="7" s="1"/>
  <c r="J85" i="7"/>
  <c r="AA84" i="7"/>
  <c r="S84" i="7" s="1"/>
  <c r="U84" i="7"/>
  <c r="U85" i="7" s="1"/>
  <c r="T84" i="7"/>
  <c r="R84" i="7"/>
  <c r="J84" i="7"/>
  <c r="J104" i="7" s="1"/>
  <c r="U83" i="7"/>
  <c r="T83" i="7"/>
  <c r="S83" i="7"/>
  <c r="R83" i="7"/>
  <c r="J83" i="7"/>
  <c r="AC82" i="7"/>
  <c r="AB82" i="7"/>
  <c r="AB162" i="7" s="1"/>
  <c r="AA82" i="7"/>
  <c r="AA162" i="7" s="1"/>
  <c r="AC81" i="7"/>
  <c r="U81" i="7" s="1"/>
  <c r="AB81" i="7"/>
  <c r="T81" i="7" s="1"/>
  <c r="AA81" i="7"/>
  <c r="J79" i="7"/>
  <c r="J100" i="7" s="1"/>
  <c r="J78" i="7"/>
  <c r="J99" i="7" s="1"/>
  <c r="J129" i="7" s="1"/>
  <c r="J135" i="7" s="1"/>
  <c r="L77" i="7"/>
  <c r="K77" i="7"/>
  <c r="G72" i="7"/>
  <c r="F72" i="7"/>
  <c r="J71" i="7"/>
  <c r="J70" i="7"/>
  <c r="J69" i="7"/>
  <c r="L65" i="7"/>
  <c r="K65" i="7"/>
  <c r="E65" i="7"/>
  <c r="L64" i="7"/>
  <c r="K64" i="7"/>
  <c r="E64" i="7"/>
  <c r="R62" i="7"/>
  <c r="AC61" i="7"/>
  <c r="AB61" i="7"/>
  <c r="AA61" i="7"/>
  <c r="AC60" i="7"/>
  <c r="K57" i="7"/>
  <c r="J57" i="7"/>
  <c r="L56" i="7"/>
  <c r="G55" i="7"/>
  <c r="F55" i="7"/>
  <c r="E55" i="7"/>
  <c r="D55" i="7"/>
  <c r="J54" i="7"/>
  <c r="AC53" i="7"/>
  <c r="AC55" i="7" s="1"/>
  <c r="AB53" i="7"/>
  <c r="AB55" i="7" s="1"/>
  <c r="D51" i="7"/>
  <c r="AA50" i="7"/>
  <c r="AA53" i="7" s="1"/>
  <c r="L50" i="7"/>
  <c r="K50" i="7"/>
  <c r="D50" i="7"/>
  <c r="U48" i="7"/>
  <c r="G45" i="7"/>
  <c r="F45" i="7"/>
  <c r="E45" i="7"/>
  <c r="D45" i="7"/>
  <c r="U42" i="7"/>
  <c r="T42" i="7"/>
  <c r="S42" i="7"/>
  <c r="R42" i="7"/>
  <c r="J180" i="7" s="1"/>
  <c r="U41" i="7"/>
  <c r="T41" i="7"/>
  <c r="S41" i="7"/>
  <c r="D41" i="7"/>
  <c r="E72" i="7" s="1"/>
  <c r="AC40" i="7"/>
  <c r="U26" i="7" s="1"/>
  <c r="AB40" i="7"/>
  <c r="AB41" i="7" s="1"/>
  <c r="T32" i="7" s="1"/>
  <c r="AA40" i="7"/>
  <c r="AA41" i="7" s="1"/>
  <c r="U40" i="7"/>
  <c r="L38" i="7"/>
  <c r="U37" i="7"/>
  <c r="T37" i="7"/>
  <c r="L37" i="7"/>
  <c r="AC36" i="7"/>
  <c r="AB36" i="7"/>
  <c r="AA36" i="7"/>
  <c r="U36" i="7"/>
  <c r="T36" i="7"/>
  <c r="S36" i="7"/>
  <c r="R35" i="7"/>
  <c r="J173" i="7" s="1"/>
  <c r="R32" i="7"/>
  <c r="J170" i="7" s="1"/>
  <c r="U31" i="7"/>
  <c r="T31" i="7"/>
  <c r="S31" i="7"/>
  <c r="F31" i="7"/>
  <c r="G31" i="7" s="1"/>
  <c r="L29" i="7"/>
  <c r="L33" i="7" s="1"/>
  <c r="L28" i="7"/>
  <c r="L32" i="7" s="1"/>
  <c r="G28" i="7"/>
  <c r="F28" i="7"/>
  <c r="E28" i="7"/>
  <c r="D28" i="7"/>
  <c r="AC26" i="7"/>
  <c r="AB26" i="7"/>
  <c r="S26" i="7"/>
  <c r="R26" i="7"/>
  <c r="J164" i="7" s="1"/>
  <c r="U25" i="7"/>
  <c r="T25" i="7"/>
  <c r="S25" i="7"/>
  <c r="AC24" i="7"/>
  <c r="AC56" i="7" s="1"/>
  <c r="AB24" i="7"/>
  <c r="AB56" i="7" s="1"/>
  <c r="AA24" i="7"/>
  <c r="AA56" i="7" s="1"/>
  <c r="U24" i="7"/>
  <c r="T24" i="7"/>
  <c r="S24" i="7"/>
  <c r="R24" i="7"/>
  <c r="J162" i="7" s="1"/>
  <c r="U23" i="7"/>
  <c r="T23" i="7"/>
  <c r="S23" i="7"/>
  <c r="R23" i="7"/>
  <c r="J161" i="7" s="1"/>
  <c r="AA22" i="7"/>
  <c r="U22" i="7"/>
  <c r="T22" i="7"/>
  <c r="S22" i="7"/>
  <c r="R22" i="7"/>
  <c r="J160" i="7" s="1"/>
  <c r="U21" i="7"/>
  <c r="T21" i="7"/>
  <c r="S21" i="7"/>
  <c r="R21" i="7"/>
  <c r="J159" i="7" s="1"/>
  <c r="U20" i="7"/>
  <c r="T20" i="7"/>
  <c r="S20" i="7"/>
  <c r="O20" i="7"/>
  <c r="N20" i="7"/>
  <c r="D18" i="7"/>
  <c r="U17" i="7"/>
  <c r="T17" i="7"/>
  <c r="S17" i="7"/>
  <c r="R17" i="7"/>
  <c r="J155" i="7" s="1"/>
  <c r="D17" i="7"/>
  <c r="U16" i="7"/>
  <c r="T16" i="7"/>
  <c r="S16" i="7"/>
  <c r="AC15" i="7"/>
  <c r="AC28" i="7" s="1"/>
  <c r="AB15" i="7"/>
  <c r="AB28" i="7" s="1"/>
  <c r="AA15" i="7"/>
  <c r="U15" i="7"/>
  <c r="T15" i="7"/>
  <c r="S15" i="7"/>
  <c r="U14" i="7"/>
  <c r="T14" i="7"/>
  <c r="S14" i="7"/>
  <c r="U13" i="7"/>
  <c r="T13" i="7"/>
  <c r="S13" i="7"/>
  <c r="R13" i="7"/>
  <c r="J151" i="7" s="1"/>
  <c r="U12" i="7"/>
  <c r="T12" i="7"/>
  <c r="S12" i="7"/>
  <c r="R12" i="7"/>
  <c r="J150" i="7" s="1"/>
  <c r="D12" i="7"/>
  <c r="E12" i="7" s="1"/>
  <c r="U11" i="7"/>
  <c r="T11" i="7"/>
  <c r="S11" i="7"/>
  <c r="R11" i="7"/>
  <c r="J149" i="7" s="1"/>
  <c r="D11" i="7"/>
  <c r="U10" i="7"/>
  <c r="T10" i="7"/>
  <c r="S10" i="7"/>
  <c r="R10" i="7"/>
  <c r="J148" i="7" s="1"/>
  <c r="O10" i="7"/>
  <c r="N10" i="7"/>
  <c r="D10" i="7"/>
  <c r="E10" i="7" s="1"/>
  <c r="F10" i="7" s="1"/>
  <c r="G10" i="7" s="1"/>
  <c r="U9" i="7"/>
  <c r="T9" i="7"/>
  <c r="S9" i="7"/>
  <c r="D9" i="7"/>
  <c r="E9" i="7" s="1"/>
  <c r="U8" i="7"/>
  <c r="T8" i="7"/>
  <c r="S8" i="7"/>
  <c r="R7" i="7"/>
  <c r="J145" i="7" s="1"/>
  <c r="D7" i="7"/>
  <c r="D6" i="7"/>
  <c r="U5" i="7"/>
  <c r="T5" i="7"/>
  <c r="S5" i="7"/>
  <c r="R5" i="7"/>
  <c r="D5" i="7"/>
  <c r="AC4" i="7"/>
  <c r="AB4" i="7"/>
  <c r="AA4" i="7"/>
  <c r="U4" i="7"/>
  <c r="G3" i="7"/>
  <c r="F3" i="7"/>
  <c r="E3" i="7"/>
  <c r="D3" i="7"/>
  <c r="T2" i="7"/>
  <c r="T48" i="7" s="1"/>
  <c r="S2" i="7"/>
  <c r="S4" i="7" s="1"/>
  <c r="S161" i="7" s="1"/>
  <c r="S178" i="7" s="1"/>
  <c r="P2" i="7"/>
  <c r="P1" i="7"/>
  <c r="E30" i="8" l="1"/>
  <c r="E31" i="8"/>
  <c r="E43" i="8" s="1"/>
  <c r="F43" i="8"/>
  <c r="E33" i="8"/>
  <c r="G37" i="8"/>
  <c r="G41" i="8"/>
  <c r="F37" i="8"/>
  <c r="E25" i="8"/>
  <c r="E37" i="8" s="1"/>
  <c r="E45" i="8"/>
  <c r="H33" i="8"/>
  <c r="H45" i="8" s="1"/>
  <c r="G45" i="8"/>
  <c r="D42" i="8"/>
  <c r="G42" i="8" s="1"/>
  <c r="G43" i="8"/>
  <c r="G63" i="8" s="1"/>
  <c r="H25" i="8"/>
  <c r="H37" i="8" s="1"/>
  <c r="H51" i="8" s="1"/>
  <c r="H54" i="8" s="1"/>
  <c r="H55" i="8" s="1"/>
  <c r="E39" i="8"/>
  <c r="I63" i="8"/>
  <c r="I64" i="8" s="1"/>
  <c r="I65" i="8" s="1"/>
  <c r="E26" i="8"/>
  <c r="E38" i="8" s="1"/>
  <c r="AB146" i="7"/>
  <c r="L138" i="7"/>
  <c r="K43" i="7"/>
  <c r="T113" i="7"/>
  <c r="L131" i="7"/>
  <c r="L43" i="7"/>
  <c r="L106" i="7"/>
  <c r="U103" i="7"/>
  <c r="T200" i="7"/>
  <c r="U58" i="7"/>
  <c r="U60" i="7" s="1"/>
  <c r="L19" i="7"/>
  <c r="U59" i="7"/>
  <c r="L81" i="7"/>
  <c r="T109" i="7"/>
  <c r="AB137" i="7"/>
  <c r="L122" i="7" s="1"/>
  <c r="T213" i="7"/>
  <c r="L59" i="7" s="1"/>
  <c r="U54" i="7"/>
  <c r="AC41" i="7"/>
  <c r="AC58" i="7" s="1"/>
  <c r="AA85" i="7"/>
  <c r="AA88" i="7" s="1"/>
  <c r="AA92" i="7" s="1"/>
  <c r="AA94" i="7" s="1"/>
  <c r="AA96" i="7" s="1"/>
  <c r="L87" i="7"/>
  <c r="S113" i="7"/>
  <c r="AA58" i="7"/>
  <c r="S32" i="7"/>
  <c r="S85" i="7"/>
  <c r="S88" i="7" s="1"/>
  <c r="AB25" i="7"/>
  <c r="AB59" i="7" s="1"/>
  <c r="U32" i="7"/>
  <c r="U33" i="7" s="1"/>
  <c r="T40" i="7"/>
  <c r="K107" i="7"/>
  <c r="AA137" i="7"/>
  <c r="K123" i="7" s="1"/>
  <c r="S197" i="7"/>
  <c r="K71" i="7" s="1"/>
  <c r="S37" i="7"/>
  <c r="AB60" i="7"/>
  <c r="U88" i="7"/>
  <c r="AA46" i="7"/>
  <c r="AA26" i="7"/>
  <c r="S48" i="7"/>
  <c r="T85" i="7"/>
  <c r="T88" i="7" s="1"/>
  <c r="T197" i="7"/>
  <c r="L71" i="7" s="1"/>
  <c r="S7" i="7"/>
  <c r="S18" i="7" s="1"/>
  <c r="D13" i="7"/>
  <c r="T57" i="7"/>
  <c r="T7" i="7"/>
  <c r="U57" i="7"/>
  <c r="K28" i="7"/>
  <c r="K32" i="7" s="1"/>
  <c r="T33" i="7"/>
  <c r="L45" i="7" s="1"/>
  <c r="K38" i="7"/>
  <c r="K103" i="7"/>
  <c r="S109" i="7"/>
  <c r="T120" i="7"/>
  <c r="K72" i="7"/>
  <c r="S52" i="7"/>
  <c r="K42" i="7" s="1"/>
  <c r="T108" i="7"/>
  <c r="T110" i="7" s="1"/>
  <c r="AB130" i="7"/>
  <c r="L117" i="7" s="1"/>
  <c r="AA146" i="7"/>
  <c r="K138" i="7" s="1"/>
  <c r="S175" i="7"/>
  <c r="D67" i="7" s="1"/>
  <c r="T4" i="7"/>
  <c r="T161" i="7" s="1"/>
  <c r="T178" i="7" s="1"/>
  <c r="K27" i="7"/>
  <c r="K31" i="7" s="1"/>
  <c r="K39" i="7"/>
  <c r="U106" i="7"/>
  <c r="L107" i="7"/>
  <c r="L121" i="7"/>
  <c r="AA28" i="7"/>
  <c r="K18" i="7" s="1"/>
  <c r="T59" i="7"/>
  <c r="AA25" i="7"/>
  <c r="S35" i="7" s="1"/>
  <c r="S38" i="7" s="1"/>
  <c r="L27" i="7"/>
  <c r="L31" i="7" s="1"/>
  <c r="L39" i="7"/>
  <c r="AA57" i="7"/>
  <c r="L80" i="7"/>
  <c r="U109" i="7"/>
  <c r="K132" i="7"/>
  <c r="T209" i="7"/>
  <c r="L58" i="7" s="1"/>
  <c r="E81" i="8"/>
  <c r="G81" i="8" s="1"/>
  <c r="F39" i="8"/>
  <c r="F63" i="8" s="1"/>
  <c r="J51" i="8"/>
  <c r="J54" i="8" s="1"/>
  <c r="J55" i="8" s="1"/>
  <c r="J68" i="8"/>
  <c r="J69" i="8" s="1"/>
  <c r="J70" i="8" s="1"/>
  <c r="J58" i="8"/>
  <c r="J59" i="8" s="1"/>
  <c r="J60" i="8" s="1"/>
  <c r="F41" i="8"/>
  <c r="F53" i="8"/>
  <c r="G53" i="8"/>
  <c r="F40" i="8"/>
  <c r="F38" i="8"/>
  <c r="G40" i="8"/>
  <c r="I51" i="8"/>
  <c r="I54" i="8" s="1"/>
  <c r="I55" i="8" s="1"/>
  <c r="G83" i="8"/>
  <c r="H83" i="8" s="1"/>
  <c r="H84" i="8" s="1"/>
  <c r="H85" i="8" s="1"/>
  <c r="J63" i="8"/>
  <c r="J64" i="8" s="1"/>
  <c r="J65" i="8" s="1"/>
  <c r="G38" i="8"/>
  <c r="E42" i="8"/>
  <c r="F45" i="8"/>
  <c r="E29" i="8"/>
  <c r="E41" i="8" s="1"/>
  <c r="I58" i="8"/>
  <c r="I59" i="8" s="1"/>
  <c r="I60" i="8" s="1"/>
  <c r="E28" i="8"/>
  <c r="E40" i="8" s="1"/>
  <c r="H31" i="8"/>
  <c r="H43" i="8" s="1"/>
  <c r="D44" i="8"/>
  <c r="G44" i="8" s="1"/>
  <c r="I68" i="8"/>
  <c r="I69" i="8" s="1"/>
  <c r="I70" i="8" s="1"/>
  <c r="E24" i="8"/>
  <c r="E52" i="8" s="1"/>
  <c r="K23" i="7"/>
  <c r="AA60" i="7"/>
  <c r="AA55" i="7"/>
  <c r="K19" i="7" s="1"/>
  <c r="S40" i="7"/>
  <c r="E11" i="7"/>
  <c r="F9" i="7"/>
  <c r="E34" i="7"/>
  <c r="F12" i="7"/>
  <c r="AA99" i="7"/>
  <c r="K22" i="7"/>
  <c r="K24" i="7" s="1"/>
  <c r="K17" i="7"/>
  <c r="U61" i="7"/>
  <c r="T51" i="7"/>
  <c r="AB57" i="7"/>
  <c r="U99" i="7"/>
  <c r="AC94" i="7"/>
  <c r="AC96" i="7" s="1"/>
  <c r="AC108" i="7"/>
  <c r="U127" i="7" s="1"/>
  <c r="S99" i="7"/>
  <c r="S93" i="7" s="1"/>
  <c r="AA108" i="7"/>
  <c r="S127" i="7" s="1"/>
  <c r="T175" i="7"/>
  <c r="L72" i="7"/>
  <c r="U7" i="7"/>
  <c r="S54" i="7"/>
  <c r="L23" i="7"/>
  <c r="AC25" i="7"/>
  <c r="AB46" i="7"/>
  <c r="AB47" i="7" s="1"/>
  <c r="AB48" i="7" s="1"/>
  <c r="S81" i="7"/>
  <c r="S103" i="7"/>
  <c r="AA161" i="7"/>
  <c r="T52" i="7"/>
  <c r="L42" i="7" s="1"/>
  <c r="D46" i="7"/>
  <c r="AB168" i="7"/>
  <c r="T191" i="7"/>
  <c r="T192" i="7" s="1"/>
  <c r="L70" i="7" s="1"/>
  <c r="S57" i="7"/>
  <c r="U27" i="7"/>
  <c r="U52" i="7"/>
  <c r="L34" i="7"/>
  <c r="S51" i="7"/>
  <c r="S53" i="7" s="1"/>
  <c r="T18" i="7"/>
  <c r="S27" i="7"/>
  <c r="L51" i="7"/>
  <c r="AB58" i="7"/>
  <c r="AA199" i="7"/>
  <c r="AA201" i="7" s="1"/>
  <c r="AA206" i="7" s="1"/>
  <c r="AB206" i="7"/>
  <c r="S58" i="7"/>
  <c r="AA47" i="7"/>
  <c r="AA48" i="7" s="1"/>
  <c r="L83" i="7"/>
  <c r="T123" i="7"/>
  <c r="S108" i="7"/>
  <c r="K82" i="7"/>
  <c r="K81" i="7"/>
  <c r="K37" i="7"/>
  <c r="D78" i="7" s="1"/>
  <c r="T58" i="7"/>
  <c r="T26" i="7"/>
  <c r="T27" i="7" s="1"/>
  <c r="S33" i="7"/>
  <c r="T35" i="7"/>
  <c r="L103" i="7"/>
  <c r="U108" i="7"/>
  <c r="U110" i="7" s="1"/>
  <c r="U115" i="7" s="1"/>
  <c r="S209" i="7"/>
  <c r="K56" i="7"/>
  <c r="AB211" i="7"/>
  <c r="S59" i="7"/>
  <c r="T99" i="7"/>
  <c r="T89" i="7" s="1"/>
  <c r="T90" i="7" s="1"/>
  <c r="AB94" i="7"/>
  <c r="AB96" i="7" s="1"/>
  <c r="L139" i="7"/>
  <c r="L136" i="7"/>
  <c r="L137" i="7"/>
  <c r="AC57" i="7"/>
  <c r="T119" i="7"/>
  <c r="L90" i="7" s="1"/>
  <c r="AB184" i="7"/>
  <c r="AC46" i="7"/>
  <c r="AC47" i="7" s="1"/>
  <c r="AC48" i="7" s="1"/>
  <c r="AA130" i="7"/>
  <c r="L132" i="7"/>
  <c r="L124" i="7"/>
  <c r="AB161" i="7"/>
  <c r="R214" i="7"/>
  <c r="J60" i="7" s="1"/>
  <c r="T103" i="7"/>
  <c r="G58" i="8" l="1"/>
  <c r="F42" i="8"/>
  <c r="H58" i="8"/>
  <c r="H59" i="8" s="1"/>
  <c r="H60" i="8" s="1"/>
  <c r="E63" i="8"/>
  <c r="E64" i="8" s="1"/>
  <c r="E65" i="8" s="1"/>
  <c r="G64" i="8"/>
  <c r="G65" i="8" s="1"/>
  <c r="G68" i="8"/>
  <c r="G69" i="8" s="1"/>
  <c r="G70" i="8" s="1"/>
  <c r="G51" i="8"/>
  <c r="G54" i="8" s="1"/>
  <c r="G55" i="8" s="1"/>
  <c r="E58" i="8"/>
  <c r="E44" i="8"/>
  <c r="E68" i="8" s="1"/>
  <c r="E69" i="8" s="1"/>
  <c r="E70" i="8" s="1"/>
  <c r="H68" i="8"/>
  <c r="H69" i="8" s="1"/>
  <c r="H70" i="8" s="1"/>
  <c r="L123" i="7"/>
  <c r="AB62" i="7"/>
  <c r="AA202" i="7"/>
  <c r="K34" i="7"/>
  <c r="K137" i="7"/>
  <c r="K136" i="7"/>
  <c r="K139" i="7"/>
  <c r="AA59" i="7"/>
  <c r="AA62" i="7" s="1"/>
  <c r="T54" i="7"/>
  <c r="L35" i="7" s="1"/>
  <c r="L116" i="7"/>
  <c r="L115" i="7"/>
  <c r="L118" i="7"/>
  <c r="T214" i="7"/>
  <c r="K121" i="7"/>
  <c r="K124" i="7"/>
  <c r="K122" i="7"/>
  <c r="AA203" i="7"/>
  <c r="S184" i="7" s="1"/>
  <c r="U89" i="7"/>
  <c r="U90" i="7" s="1"/>
  <c r="T60" i="7"/>
  <c r="T61" i="7" s="1"/>
  <c r="T53" i="7"/>
  <c r="F64" i="8"/>
  <c r="F65" i="8" s="1"/>
  <c r="F44" i="8"/>
  <c r="F51" i="8" s="1"/>
  <c r="F54" i="8" s="1"/>
  <c r="F55" i="8" s="1"/>
  <c r="F58" i="8"/>
  <c r="F59" i="8" s="1"/>
  <c r="F60" i="8" s="1"/>
  <c r="H63" i="8"/>
  <c r="H64" i="8" s="1"/>
  <c r="H65" i="8" s="1"/>
  <c r="E59" i="8"/>
  <c r="E60" i="8" s="1"/>
  <c r="G59" i="8"/>
  <c r="G60" i="8" s="1"/>
  <c r="T115" i="7"/>
  <c r="L84" i="7"/>
  <c r="L104" i="7"/>
  <c r="U120" i="7"/>
  <c r="U119" i="7"/>
  <c r="K20" i="7"/>
  <c r="F34" i="7"/>
  <c r="G12" i="7"/>
  <c r="G34" i="7" s="1"/>
  <c r="K51" i="7"/>
  <c r="D40" i="7"/>
  <c r="S165" i="7"/>
  <c r="AA209" i="7"/>
  <c r="AC59" i="7"/>
  <c r="AC62" i="7" s="1"/>
  <c r="U35" i="7"/>
  <c r="U38" i="7" s="1"/>
  <c r="U39" i="7" s="1"/>
  <c r="U43" i="7" s="1"/>
  <c r="T55" i="7"/>
  <c r="T62" i="7" s="1"/>
  <c r="K117" i="7"/>
  <c r="K118" i="7"/>
  <c r="K116" i="7"/>
  <c r="K115" i="7"/>
  <c r="AB185" i="7"/>
  <c r="T167" i="7" s="1"/>
  <c r="L61" i="7" s="1"/>
  <c r="T182" i="7"/>
  <c r="S89" i="7"/>
  <c r="S90" i="7" s="1"/>
  <c r="S55" i="7"/>
  <c r="D33" i="7"/>
  <c r="K26" i="7"/>
  <c r="D30" i="7" s="1"/>
  <c r="U51" i="7"/>
  <c r="U53" i="7" s="1"/>
  <c r="U55" i="7" s="1"/>
  <c r="U62" i="7" s="1"/>
  <c r="U18" i="7"/>
  <c r="U28" i="7" s="1"/>
  <c r="F11" i="7"/>
  <c r="G9" i="7"/>
  <c r="G11" i="7" s="1"/>
  <c r="AB208" i="7"/>
  <c r="U93" i="7"/>
  <c r="U92" i="7"/>
  <c r="U94" i="7" s="1"/>
  <c r="U97" i="7" s="1"/>
  <c r="U98" i="7" s="1"/>
  <c r="U95" i="7"/>
  <c r="AA231" i="7"/>
  <c r="AA238" i="7" s="1"/>
  <c r="E33" i="7"/>
  <c r="E35" i="7" s="1"/>
  <c r="E13" i="7"/>
  <c r="AB99" i="7"/>
  <c r="L22" i="7"/>
  <c r="L24" i="7" s="1"/>
  <c r="L18" i="7"/>
  <c r="L20" i="7" s="1"/>
  <c r="L17" i="7"/>
  <c r="S214" i="7"/>
  <c r="K58" i="7"/>
  <c r="S39" i="7"/>
  <c r="K45" i="7"/>
  <c r="AB202" i="7"/>
  <c r="AA184" i="7"/>
  <c r="S119" i="7"/>
  <c r="S123" i="7"/>
  <c r="S120" i="7"/>
  <c r="AA167" i="7"/>
  <c r="D20" i="7"/>
  <c r="S95" i="7"/>
  <c r="T28" i="7"/>
  <c r="L165" i="7" s="1"/>
  <c r="D37" i="7"/>
  <c r="S92" i="7"/>
  <c r="S28" i="7"/>
  <c r="T38" i="7"/>
  <c r="AB203" i="7"/>
  <c r="T184" i="7" s="1"/>
  <c r="T93" i="7"/>
  <c r="T95" i="7"/>
  <c r="T92" i="7"/>
  <c r="T94" i="7" s="1"/>
  <c r="T97" i="7" s="1"/>
  <c r="S110" i="7"/>
  <c r="K83" i="7"/>
  <c r="T215" i="7"/>
  <c r="L60" i="7"/>
  <c r="U123" i="7"/>
  <c r="L92" i="7"/>
  <c r="U132" i="7"/>
  <c r="U134" i="7" s="1"/>
  <c r="U136" i="7" s="1"/>
  <c r="U116" i="7"/>
  <c r="U117" i="7" s="1"/>
  <c r="U122" i="7" s="1"/>
  <c r="U125" i="7" s="1"/>
  <c r="S60" i="7"/>
  <c r="S61" i="7" s="1"/>
  <c r="D34" i="7"/>
  <c r="K35" i="7"/>
  <c r="D31" i="7" s="1"/>
  <c r="E51" i="8" l="1"/>
  <c r="E54" i="8" s="1"/>
  <c r="E55" i="8" s="1"/>
  <c r="F68" i="8"/>
  <c r="F69" i="8" s="1"/>
  <c r="F70" i="8" s="1"/>
  <c r="L164" i="7"/>
  <c r="L156" i="7"/>
  <c r="L173" i="7"/>
  <c r="K168" i="7"/>
  <c r="K172" i="7"/>
  <c r="K166" i="7"/>
  <c r="K157" i="7"/>
  <c r="S66" i="7"/>
  <c r="K13" i="7"/>
  <c r="K156" i="7"/>
  <c r="K160" i="7"/>
  <c r="K161" i="7"/>
  <c r="K150" i="7"/>
  <c r="K169" i="7"/>
  <c r="K155" i="7"/>
  <c r="K153" i="7"/>
  <c r="K179" i="7"/>
  <c r="K173" i="7"/>
  <c r="K158" i="7"/>
  <c r="K162" i="7"/>
  <c r="K151" i="7"/>
  <c r="K146" i="7"/>
  <c r="K164" i="7"/>
  <c r="K159" i="7"/>
  <c r="K174" i="7"/>
  <c r="K152" i="7"/>
  <c r="K170" i="7"/>
  <c r="K163" i="7"/>
  <c r="K145" i="7"/>
  <c r="K175" i="7"/>
  <c r="K148" i="7"/>
  <c r="K180" i="7"/>
  <c r="K147" i="7"/>
  <c r="K154" i="7"/>
  <c r="K149" i="7"/>
  <c r="K177" i="7"/>
  <c r="K46" i="7"/>
  <c r="S43" i="7"/>
  <c r="K181" i="7" s="1"/>
  <c r="D39" i="7"/>
  <c r="E18" i="7"/>
  <c r="E15" i="7"/>
  <c r="E36" i="7"/>
  <c r="E66" i="7" s="1"/>
  <c r="E67" i="7" s="1"/>
  <c r="K66" i="7"/>
  <c r="K67" i="7" s="1"/>
  <c r="K104" i="7"/>
  <c r="S115" i="7"/>
  <c r="K84" i="7"/>
  <c r="AA168" i="7"/>
  <c r="AA211" i="7"/>
  <c r="S191" i="7"/>
  <c r="S192" i="7" s="1"/>
  <c r="K70" i="7" s="1"/>
  <c r="K171" i="7"/>
  <c r="D35" i="7"/>
  <c r="D38" i="7" s="1"/>
  <c r="D77" i="7" s="1"/>
  <c r="K176" i="7"/>
  <c r="S62" i="7"/>
  <c r="S63" i="7" s="1"/>
  <c r="K47" i="7"/>
  <c r="E17" i="7"/>
  <c r="E59" i="7" s="1"/>
  <c r="K92" i="7"/>
  <c r="D23" i="7"/>
  <c r="K165" i="7"/>
  <c r="S94" i="7"/>
  <c r="S97" i="7" s="1"/>
  <c r="S98" i="7" s="1"/>
  <c r="L26" i="7"/>
  <c r="S215" i="7"/>
  <c r="K60" i="7"/>
  <c r="L168" i="7"/>
  <c r="L172" i="7"/>
  <c r="L166" i="7"/>
  <c r="L157" i="7"/>
  <c r="T66" i="7"/>
  <c r="L13" i="7"/>
  <c r="L180" i="7"/>
  <c r="L158" i="7"/>
  <c r="L152" i="7"/>
  <c r="L163" i="7"/>
  <c r="L161" i="7"/>
  <c r="L178" i="7"/>
  <c r="L169" i="7"/>
  <c r="L154" i="7"/>
  <c r="L162" i="7"/>
  <c r="L159" i="7"/>
  <c r="L171" i="7"/>
  <c r="L179" i="7"/>
  <c r="L150" i="7"/>
  <c r="L170" i="7"/>
  <c r="L175" i="7"/>
  <c r="L174" i="7"/>
  <c r="L160" i="7"/>
  <c r="L153" i="7"/>
  <c r="L145" i="7"/>
  <c r="L148" i="7"/>
  <c r="L155" i="7"/>
  <c r="L146" i="7"/>
  <c r="L151" i="7"/>
  <c r="L149" i="7"/>
  <c r="L147" i="7"/>
  <c r="K90" i="7"/>
  <c r="D24" i="7"/>
  <c r="G33" i="7"/>
  <c r="G35" i="7" s="1"/>
  <c r="G13" i="7"/>
  <c r="T186" i="7"/>
  <c r="T63" i="7"/>
  <c r="AA185" i="7"/>
  <c r="AA210" i="7"/>
  <c r="S182" i="7"/>
  <c r="S186" i="7" s="1"/>
  <c r="F33" i="7"/>
  <c r="F35" i="7" s="1"/>
  <c r="F13" i="7"/>
  <c r="AB210" i="7"/>
  <c r="K178" i="7"/>
  <c r="L88" i="7"/>
  <c r="T132" i="7"/>
  <c r="T116" i="7"/>
  <c r="T117" i="7" s="1"/>
  <c r="U44" i="7"/>
  <c r="U66" i="7"/>
  <c r="L62" i="7"/>
  <c r="L68" i="7" s="1"/>
  <c r="AB209" i="7"/>
  <c r="AB214" i="7" s="1"/>
  <c r="T165" i="7"/>
  <c r="L176" i="7"/>
  <c r="T39" i="7"/>
  <c r="AB231" i="7"/>
  <c r="AB238" i="7" s="1"/>
  <c r="T98" i="7"/>
  <c r="U63" i="7"/>
  <c r="S44" i="7" l="1"/>
  <c r="L40" i="7"/>
  <c r="L89" i="7"/>
  <c r="L108" i="7"/>
  <c r="T122" i="7"/>
  <c r="F60" i="7"/>
  <c r="AA208" i="7"/>
  <c r="AA214" i="7" s="1"/>
  <c r="S167" i="7"/>
  <c r="E61" i="7"/>
  <c r="E50" i="7"/>
  <c r="G60" i="7"/>
  <c r="L177" i="7"/>
  <c r="T43" i="7"/>
  <c r="L7" i="7"/>
  <c r="L46" i="7"/>
  <c r="L47" i="7"/>
  <c r="L8" i="7"/>
  <c r="S199" i="7"/>
  <c r="S201" i="7" s="1"/>
  <c r="D73" i="7" s="1"/>
  <c r="K69" i="7"/>
  <c r="K73" i="7" s="1"/>
  <c r="K8" i="7"/>
  <c r="D22" i="7" s="1"/>
  <c r="K88" i="7"/>
  <c r="S132" i="7"/>
  <c r="S116" i="7"/>
  <c r="S117" i="7" s="1"/>
  <c r="K7" i="7"/>
  <c r="T134" i="7"/>
  <c r="L48" i="7"/>
  <c r="T168" i="7"/>
  <c r="T176" i="7" s="1"/>
  <c r="L66" i="7"/>
  <c r="L67" i="7" s="1"/>
  <c r="D42" i="7"/>
  <c r="E23" i="7"/>
  <c r="E70" i="7" s="1"/>
  <c r="K40" i="7"/>
  <c r="E37" i="7"/>
  <c r="E60" i="7"/>
  <c r="T199" i="7"/>
  <c r="T201" i="7" s="1"/>
  <c r="L69" i="7"/>
  <c r="L73" i="7" s="1"/>
  <c r="F36" i="7"/>
  <c r="F66" i="7" s="1"/>
  <c r="F18" i="7"/>
  <c r="F15" i="7"/>
  <c r="G36" i="7"/>
  <c r="G15" i="7"/>
  <c r="G18" i="7"/>
  <c r="E19" i="7"/>
  <c r="E21" i="7" s="1"/>
  <c r="K89" i="7" l="1"/>
  <c r="K108" i="7"/>
  <c r="S122" i="7"/>
  <c r="G50" i="7"/>
  <c r="G61" i="7"/>
  <c r="E25" i="7"/>
  <c r="E76" i="7"/>
  <c r="E57" i="7"/>
  <c r="E62" i="7" s="1"/>
  <c r="E68" i="7" s="1"/>
  <c r="K61" i="7"/>
  <c r="K62" i="7" s="1"/>
  <c r="K68" i="7" s="1"/>
  <c r="S168" i="7"/>
  <c r="L181" i="7"/>
  <c r="T44" i="7"/>
  <c r="S134" i="7"/>
  <c r="K48" i="7"/>
  <c r="G66" i="7"/>
  <c r="T202" i="7"/>
  <c r="F65" i="7"/>
  <c r="F67" i="7" s="1"/>
  <c r="F17" i="7"/>
  <c r="F59" i="7" s="1"/>
  <c r="E78" i="7"/>
  <c r="E38" i="7"/>
  <c r="L109" i="7"/>
  <c r="L91" i="7"/>
  <c r="T125" i="7"/>
  <c r="L6" i="7"/>
  <c r="L12" i="7"/>
  <c r="L14" i="7" s="1"/>
  <c r="F19" i="7"/>
  <c r="F21" i="7" s="1"/>
  <c r="T136" i="7"/>
  <c r="L96" i="7" s="1"/>
  <c r="L95" i="7"/>
  <c r="L110" i="7"/>
  <c r="F50" i="7"/>
  <c r="F61" i="7"/>
  <c r="E47" i="7" l="1"/>
  <c r="E49" i="7" s="1"/>
  <c r="E71" i="7" s="1"/>
  <c r="F76" i="7"/>
  <c r="F57" i="7"/>
  <c r="F62" i="7" s="1"/>
  <c r="F68" i="7" s="1"/>
  <c r="F37" i="7"/>
  <c r="S136" i="7"/>
  <c r="K95" i="7"/>
  <c r="K110" i="7"/>
  <c r="E42" i="7"/>
  <c r="E77" i="7"/>
  <c r="L9" i="7"/>
  <c r="L10" i="7" s="1"/>
  <c r="L93" i="7"/>
  <c r="L5" i="7"/>
  <c r="K109" i="7"/>
  <c r="S125" i="7"/>
  <c r="K91" i="7"/>
  <c r="K6" i="7"/>
  <c r="K12" i="7"/>
  <c r="K14" i="7" s="1"/>
  <c r="D62" i="7"/>
  <c r="D68" i="7" s="1"/>
  <c r="D74" i="7" s="1"/>
  <c r="S176" i="7"/>
  <c r="S202" i="7" s="1"/>
  <c r="K96" i="7" l="1"/>
  <c r="D14" i="7" s="1"/>
  <c r="D15" i="7"/>
  <c r="D19" i="7" s="1"/>
  <c r="D21" i="7" s="1"/>
  <c r="K9" i="7"/>
  <c r="K10" i="7" s="1"/>
  <c r="G65" i="7"/>
  <c r="G67" i="7" s="1"/>
  <c r="G17" i="7"/>
  <c r="F38" i="7"/>
  <c r="F78" i="7"/>
  <c r="K93" i="7"/>
  <c r="K5" i="7"/>
  <c r="G59" i="7" l="1"/>
  <c r="G19" i="7"/>
  <c r="G21" i="7" s="1"/>
  <c r="F42" i="7"/>
  <c r="F77" i="7"/>
  <c r="D76" i="7"/>
  <c r="D25" i="7"/>
  <c r="G37" i="7"/>
  <c r="G38" i="7" l="1"/>
  <c r="G78" i="7"/>
  <c r="D47" i="7"/>
  <c r="G76" i="7"/>
  <c r="G57" i="7"/>
  <c r="G62" i="7" s="1"/>
  <c r="G68" i="7" s="1"/>
  <c r="D49" i="7" l="1"/>
  <c r="D52" i="7"/>
  <c r="G42" i="7"/>
  <c r="G77" i="7"/>
  <c r="E46" i="7" l="1"/>
  <c r="E52" i="7" s="1"/>
  <c r="D79" i="7"/>
  <c r="D80" i="7"/>
  <c r="F46" i="7" l="1"/>
  <c r="E40" i="7"/>
  <c r="E39" i="7" s="1"/>
  <c r="E80" i="7"/>
  <c r="E69" i="7" l="1"/>
  <c r="E73" i="7" s="1"/>
  <c r="E74" i="7" s="1"/>
  <c r="E79" i="7"/>
  <c r="F23" i="7"/>
  <c r="F70" i="7" l="1"/>
  <c r="F25" i="7"/>
  <c r="F47" i="7" l="1"/>
  <c r="F49" i="7" l="1"/>
  <c r="F71" i="7" s="1"/>
  <c r="F52" i="7"/>
  <c r="G46" i="7" l="1"/>
  <c r="F40" i="7"/>
  <c r="F39" i="7" s="1"/>
  <c r="F80" i="7"/>
  <c r="F69" i="7" l="1"/>
  <c r="F73" i="7" s="1"/>
  <c r="F74" i="7" s="1"/>
  <c r="G23" i="7"/>
  <c r="F79" i="7"/>
  <c r="G70" i="7" l="1"/>
  <c r="G25" i="7"/>
  <c r="G47" i="7" l="1"/>
  <c r="G49" i="7" l="1"/>
  <c r="G71" i="7" s="1"/>
  <c r="G52" i="7" l="1"/>
  <c r="G40" i="7" l="1"/>
  <c r="G39" i="7" s="1"/>
  <c r="G80" i="7"/>
  <c r="G79" i="7" l="1"/>
  <c r="G69" i="7"/>
  <c r="G73" i="7" s="1"/>
  <c r="G7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3" authorId="0" shapeId="0" xr:uid="{A28A1781-13D1-435E-B841-1F8F802FA123}">
      <text>
        <r>
          <rPr>
            <sz val="10"/>
            <color indexed="81"/>
            <rFont val="Tahoma"/>
            <family val="2"/>
          </rPr>
          <t>If you add BV instead of NOA, you will get IV of equity directly</t>
        </r>
      </text>
    </comment>
    <comment ref="A101" authorId="0" shapeId="0" xr:uid="{62349A97-DC91-4498-B522-972E0712CB01}">
      <text>
        <r>
          <rPr>
            <sz val="8"/>
            <color indexed="81"/>
            <rFont val="Tahoma"/>
            <family val="2"/>
          </rPr>
          <t>Include not just "net profit attr. to O/S", but also other SSE items, such as OCI, share-based compensation, etc.</t>
        </r>
      </text>
    </comment>
    <comment ref="B125" authorId="0" shapeId="0" xr:uid="{437AA7AC-A2A6-4927-BE33-EAE082A92DC5}">
      <text>
        <r>
          <rPr>
            <sz val="9"/>
            <color indexed="81"/>
            <rFont val="Tahoma"/>
            <family val="2"/>
          </rPr>
          <t>Calculated using market value (i.e., marekt cap), not book value</t>
        </r>
      </text>
    </comment>
    <comment ref="D128" authorId="0" shapeId="0" xr:uid="{F576ACCD-9FD5-4D53-AB8F-53C2CF278396}">
      <text>
        <r>
          <rPr>
            <sz val="9"/>
            <color indexed="81"/>
            <rFont val="Tahoma"/>
            <family val="2"/>
          </rPr>
          <t>The capital structure is assumed to be constant (as of the valuation date). A more elaborate calculation (e.g., as in AcF601) allows for capital structure to vary over the forecast horizon (and only becomes constant beyond that). This level of complexity is not required in this module</t>
        </r>
      </text>
    </comment>
    <comment ref="B144" authorId="0" shapeId="0" xr:uid="{7C585570-25C4-4D5D-BBCF-B7777A8A00B8}">
      <text>
        <r>
          <rPr>
            <sz val="9"/>
            <color indexed="81"/>
            <rFont val="Tahoma"/>
            <family val="2"/>
          </rPr>
          <t>NOT to be used as the long-term growth rate (g) for Tesco's TV</t>
        </r>
      </text>
    </comment>
    <comment ref="G144" authorId="0" shapeId="0" xr:uid="{57A55B49-40A9-4B43-9816-7B0C56CDC05C}">
      <text>
        <r>
          <rPr>
            <sz val="9"/>
            <color indexed="81"/>
            <rFont val="Tahoma"/>
            <family val="2"/>
          </rPr>
          <t>Can be used as the long-term growth rate (g) for Tesco's TV</t>
        </r>
      </text>
    </comment>
  </commentList>
</comments>
</file>

<file path=xl/sharedStrings.xml><?xml version="1.0" encoding="utf-8"?>
<sst xmlns="http://schemas.openxmlformats.org/spreadsheetml/2006/main" count="870" uniqueCount="631">
  <si>
    <t>Repurchase</t>
  </si>
  <si>
    <t>Dividend payout</t>
  </si>
  <si>
    <t>Payout</t>
  </si>
  <si>
    <t>Interest coverage</t>
  </si>
  <si>
    <t>D/E</t>
  </si>
  <si>
    <t>Solvency</t>
  </si>
  <si>
    <t>Employed Capital T/O</t>
  </si>
  <si>
    <t>Store productivity</t>
  </si>
  <si>
    <t>Total liabilities</t>
  </si>
  <si>
    <t>T/P T/O</t>
  </si>
  <si>
    <t>INV T/O</t>
  </si>
  <si>
    <t>T/R T/O</t>
  </si>
  <si>
    <t>OWC T/O</t>
  </si>
  <si>
    <t>Check (calculated RHS)</t>
  </si>
  <si>
    <t>NOA T/O</t>
  </si>
  <si>
    <t>NOPM</t>
  </si>
  <si>
    <t>RNOA</t>
  </si>
  <si>
    <t>ROOE</t>
  </si>
  <si>
    <t>Advanced DuPont Decomposition</t>
  </si>
  <si>
    <t>ATO</t>
  </si>
  <si>
    <t>NPM</t>
  </si>
  <si>
    <t>= ROA</t>
  </si>
  <si>
    <t>DuPont Decomposition (standard)</t>
  </si>
  <si>
    <t>Pension deficit</t>
  </si>
  <si>
    <t>Discounted O/L</t>
  </si>
  <si>
    <t>Total</t>
  </si>
  <si>
    <t>International</t>
  </si>
  <si>
    <t>UK &amp; ROI</t>
  </si>
  <si>
    <t>Current Liabilities</t>
  </si>
  <si>
    <t>Current assets</t>
  </si>
  <si>
    <t>Employed capital</t>
  </si>
  <si>
    <t>Depreciation and amortization</t>
  </si>
  <si>
    <t>As in the year's F/S</t>
  </si>
  <si>
    <t>Retail space, xld franchise (mil. m2)</t>
  </si>
  <si>
    <t>Depreciation, amortization and impairment</t>
  </si>
  <si>
    <t>Impairment of goodwill</t>
  </si>
  <si>
    <t>Impairment of property, plant and equipment, investment property and loans to JV</t>
  </si>
  <si>
    <t>Depreciation and amortisation charged</t>
  </si>
  <si>
    <t>Note 3</t>
  </si>
  <si>
    <t>Operating profit</t>
  </si>
  <si>
    <t>Dividend per share</t>
  </si>
  <si>
    <t>EPS (basic)</t>
  </si>
  <si>
    <t># shares outstanding (m)</t>
  </si>
  <si>
    <t>Net finance cost, after tax</t>
  </si>
  <si>
    <t>…</t>
  </si>
  <si>
    <t>SEP</t>
  </si>
  <si>
    <t>E</t>
  </si>
  <si>
    <t>D</t>
  </si>
  <si>
    <t>F</t>
  </si>
  <si>
    <t>Financial services</t>
  </si>
  <si>
    <t>I</t>
  </si>
  <si>
    <t>O</t>
  </si>
  <si>
    <t>Change in working capital</t>
  </si>
  <si>
    <t>Cash and cash equivalents at the end of the year</t>
  </si>
  <si>
    <t>Change of cash held in disposal groups</t>
  </si>
  <si>
    <t>Cash held in disposal groups</t>
  </si>
  <si>
    <t>Change in financing cash</t>
  </si>
  <si>
    <t>Check</t>
  </si>
  <si>
    <t>Change in operating cash</t>
  </si>
  <si>
    <t>Net financing cash flows</t>
  </si>
  <si>
    <t>Cash &amp; equiv. at the end of year, incld. cash in disposal groups</t>
  </si>
  <si>
    <t>Effect of exchange rate changes</t>
  </si>
  <si>
    <t>Net financing cash flows, continuing</t>
  </si>
  <si>
    <t>Cash and cash equivalents at beginning of the year</t>
  </si>
  <si>
    <t>Cash flows related to non-controlling interests</t>
  </si>
  <si>
    <t>Change in cash &amp; equiv. (before exchange rate changes)</t>
  </si>
  <si>
    <t>Net cash flow to ordinary shareholders</t>
  </si>
  <si>
    <t>Net cash from financing activities</t>
  </si>
  <si>
    <t>Cash dividend paid to O/S</t>
  </si>
  <si>
    <t>Own shares purchased</t>
  </si>
  <si>
    <t>Change in treasury stock/repurchases</t>
  </si>
  <si>
    <t>Dividends paid to non-cont'l interests</t>
  </si>
  <si>
    <t>Dividends paid to equity owners</t>
  </si>
  <si>
    <t>Cash flows to ordinary shareholders</t>
  </si>
  <si>
    <t>Rights issue to non-cont'l interests</t>
  </si>
  <si>
    <t>Net cash flow to debtholders</t>
  </si>
  <si>
    <t>Repayments of obligations under finance leases</t>
  </si>
  <si>
    <t>Net cash from derivative instruments</t>
  </si>
  <si>
    <t>Repayments of finance leases</t>
  </si>
  <si>
    <t>Repayment of borrowings</t>
  </si>
  <si>
    <t>Increase in borrowings</t>
  </si>
  <si>
    <t>Issue of ordinary share capital</t>
  </si>
  <si>
    <t>Cash flows to debtholders</t>
  </si>
  <si>
    <t>Cash flows from financing activities</t>
  </si>
  <si>
    <t>Net change in financial assets</t>
  </si>
  <si>
    <t>Net cash from investing activities</t>
  </si>
  <si>
    <t>Tax effect of interest received</t>
  </si>
  <si>
    <t>Interest received, after tax</t>
  </si>
  <si>
    <t>Interest received</t>
  </si>
  <si>
    <t>Dividends received from JV &amp; assoc't</t>
  </si>
  <si>
    <t>Net changes in investments (fin.), S/T &amp; L/T</t>
  </si>
  <si>
    <t>Net (invst. in)/sale of other investments</t>
  </si>
  <si>
    <t>Changes in financial assets</t>
  </si>
  <si>
    <t>Net (invst. in)/sale of S/T investments</t>
  </si>
  <si>
    <t>£m</t>
  </si>
  <si>
    <t>Investments in JV and assoc't</t>
  </si>
  <si>
    <t>Net (increase)/decrease of loans to JV &amp; assoc't</t>
  </si>
  <si>
    <t>Proceeds from sale of PPE, invst. property, intangible and other assets</t>
  </si>
  <si>
    <t>Free cash flow</t>
  </si>
  <si>
    <t>Proceeds from sale of JV &amp; assoc't</t>
  </si>
  <si>
    <t>Net cash investments</t>
  </si>
  <si>
    <t>Acquisition of subsidiaries, net of cash</t>
  </si>
  <si>
    <t>Change in cash (operating)</t>
  </si>
  <si>
    <t>Disposal of subsidiaries, net of cash</t>
  </si>
  <si>
    <t>Dividends from JV &amp; assoc't, net of loans</t>
  </si>
  <si>
    <t>Purchase of intangible assets</t>
  </si>
  <si>
    <t>Disposal of subsidiaries &amp; assoc't</t>
  </si>
  <si>
    <t>Purchase of PPE, invst. property and n/c assets HFS</t>
  </si>
  <si>
    <t>Acquisition of (investments in) subsidiaries and assoc't</t>
  </si>
  <si>
    <t>Cash flows from investing activities</t>
  </si>
  <si>
    <t>Disposal of PPE, intangible &amp; other assets</t>
  </si>
  <si>
    <t>Net cash from operating activities</t>
  </si>
  <si>
    <t>Acquisition of PPE, intangible &amp; other assets</t>
  </si>
  <si>
    <t>Corporate tax paid</t>
  </si>
  <si>
    <t>Cash investments</t>
  </si>
  <si>
    <t>Tax effect of interest paid</t>
  </si>
  <si>
    <t>Net cash flow from operating activities</t>
  </si>
  <si>
    <t>Interest paid, after tax</t>
  </si>
  <si>
    <t>Tax effect of interest, net</t>
  </si>
  <si>
    <t>Interest paid</t>
  </si>
  <si>
    <t>Cash generated from operations</t>
  </si>
  <si>
    <t>[Items omitted]</t>
  </si>
  <si>
    <t>Adj. operating cash flows</t>
  </si>
  <si>
    <t>Cash flows from operating activity</t>
  </si>
  <si>
    <t>Reformulated SCF</t>
  </si>
  <si>
    <t>Reported CFS</t>
  </si>
  <si>
    <t>Taxation</t>
  </si>
  <si>
    <t>Profit/(loss) before tax</t>
  </si>
  <si>
    <t>ETR for non-recurring items</t>
  </si>
  <si>
    <t>Profits/(losses) arising on property-related items</t>
  </si>
  <si>
    <t>Administrative expenses</t>
  </si>
  <si>
    <t>Net profit from cont. op, attr. to O/S</t>
  </si>
  <si>
    <t>Cost of sales</t>
  </si>
  <si>
    <t>Non-controlling interests</t>
  </si>
  <si>
    <t>Exceptional items</t>
  </si>
  <si>
    <t>Net finance cost (rec. &amp; non-rec.), after tax</t>
  </si>
  <si>
    <t>Net operating profit (NOP)</t>
  </si>
  <si>
    <t>Non-recurring C.O.S. &amp; admin. exp., a.t.</t>
  </si>
  <si>
    <t>Finance costs, net of fin. income</t>
  </si>
  <si>
    <t>Property-related profit (rec. &amp; non-rec.), a.t.</t>
  </si>
  <si>
    <t>Op. gains (loss) unrelated to sales, after tax</t>
  </si>
  <si>
    <t>Operating profit from sales, after tax</t>
  </si>
  <si>
    <t>Before exceptional items</t>
  </si>
  <si>
    <t>Tax on operating profit from sales</t>
  </si>
  <si>
    <t>Other information from the group income statement</t>
  </si>
  <si>
    <t>Operating profit from sales</t>
  </si>
  <si>
    <t>*Including exceptional inventory provision</t>
  </si>
  <si>
    <t>Operating profit: financial services</t>
  </si>
  <si>
    <t>Inventory losses and provisions*</t>
  </si>
  <si>
    <t xml:space="preserve">Costs of inventories recognised as an expense </t>
  </si>
  <si>
    <t>Revenue</t>
  </si>
  <si>
    <t>Gross profit</t>
  </si>
  <si>
    <t>Cost of sales (reconstructed)</t>
  </si>
  <si>
    <t>£ m</t>
  </si>
  <si>
    <t>53 weeks ended 28 February</t>
  </si>
  <si>
    <t>Reformulated I/S: with further adjustments</t>
  </si>
  <si>
    <t>Effective tax rate (ETR)</t>
  </si>
  <si>
    <t>Equity holders of parent</t>
  </si>
  <si>
    <t>Subtract</t>
  </si>
  <si>
    <t>Attributable to:</t>
  </si>
  <si>
    <t>Profit for the year</t>
  </si>
  <si>
    <t>Ignore</t>
  </si>
  <si>
    <t>Discontinued operations</t>
  </si>
  <si>
    <t>Profit from cont. operations</t>
  </si>
  <si>
    <t>Split</t>
  </si>
  <si>
    <t>Profit before taxes</t>
  </si>
  <si>
    <t>FC</t>
  </si>
  <si>
    <t>Finance cost</t>
  </si>
  <si>
    <t>Finance income</t>
  </si>
  <si>
    <t>OP, US</t>
  </si>
  <si>
    <t>Share of profits (losses) of J.V. &amp; assoc't</t>
  </si>
  <si>
    <t>Property-related profit</t>
  </si>
  <si>
    <t>Op. expenses related to sales</t>
  </si>
  <si>
    <t>OP, S</t>
  </si>
  <si>
    <t>Admin. expenses</t>
  </si>
  <si>
    <t>Cost of Sales</t>
  </si>
  <si>
    <t>Revenue (sales excluding VAT)</t>
  </si>
  <si>
    <t>Notes</t>
  </si>
  <si>
    <t>Reformulated I/S: use reported "Total"; no further adjustments</t>
  </si>
  <si>
    <t>Reported I/S</t>
  </si>
  <si>
    <t xml:space="preserve">LIBOR + 0.65% Tesco Bank Bond £350m May 2021 </t>
  </si>
  <si>
    <t xml:space="preserve">5% Tesco Bank Retail Bond £200m Nov 2020 </t>
  </si>
  <si>
    <t xml:space="preserve">LIBOR + 0.65% Tesco Bank Bond £300m Apr 2020 </t>
  </si>
  <si>
    <t xml:space="preserve">1% RPI Tesco Bank Retail Bond £66m Dec 2019 </t>
  </si>
  <si>
    <t>LIBOR + 0.45% Tesco Bank Bond £150m May 2019</t>
  </si>
  <si>
    <t xml:space="preserve">5.2% Tesco Bank Retail Bond £125m Aug 2018 </t>
  </si>
  <si>
    <t>Note 20</t>
  </si>
  <si>
    <t>Total non-current NOA</t>
  </si>
  <si>
    <t>Cash</t>
  </si>
  <si>
    <t>Non-depreciable n/c OA, net of n/c OL</t>
  </si>
  <si>
    <t>Note 19</t>
  </si>
  <si>
    <t>Non-current operating liab.</t>
  </si>
  <si>
    <t>Non-depreciable n/c OA</t>
  </si>
  <si>
    <t>Depreciable non-current OA</t>
  </si>
  <si>
    <t>Non-current net operating assets</t>
  </si>
  <si>
    <t>OSE</t>
  </si>
  <si>
    <t>Total operating working capital</t>
  </si>
  <si>
    <t>FA</t>
  </si>
  <si>
    <t>Financial services (net loans), current and n/c</t>
  </si>
  <si>
    <t>FL</t>
  </si>
  <si>
    <t>OL</t>
  </si>
  <si>
    <t>OA</t>
  </si>
  <si>
    <t>Total equity</t>
  </si>
  <si>
    <t>Operating working capital</t>
  </si>
  <si>
    <t>Equity of owners of parent</t>
  </si>
  <si>
    <t>Retained earnings</t>
  </si>
  <si>
    <t>Further grouping of operating assets and liab.</t>
  </si>
  <si>
    <t>Other reserves</t>
  </si>
  <si>
    <t>Share capital and premium</t>
  </si>
  <si>
    <t>Equity</t>
  </si>
  <si>
    <t>Net assets</t>
  </si>
  <si>
    <t>Provisions</t>
  </si>
  <si>
    <t>Assets held for sale, net of liab.</t>
  </si>
  <si>
    <t>Deferred tax liabilities</t>
  </si>
  <si>
    <t>Post-employment benefit obligations</t>
  </si>
  <si>
    <t>Net financial liabilities (assets)</t>
  </si>
  <si>
    <t>Derivative financial instruments and other liabilities</t>
  </si>
  <si>
    <t>Other non-current borrowings</t>
  </si>
  <si>
    <t>Financial investments, S/T &amp; L/T</t>
  </si>
  <si>
    <t>Borrowings for Tesco Bank, n/c</t>
  </si>
  <si>
    <t>Financial instruments, S/T &amp; L/T</t>
  </si>
  <si>
    <t>Borrowings</t>
  </si>
  <si>
    <t>Non-current liabilities</t>
  </si>
  <si>
    <t>Financial assets</t>
  </si>
  <si>
    <t>Liabilities held of sale</t>
  </si>
  <si>
    <t>S/T borrowings</t>
  </si>
  <si>
    <t>Current tax liabilities</t>
  </si>
  <si>
    <t>Financial liabilities</t>
  </si>
  <si>
    <t>Customer deposits and deposits from banks</t>
  </si>
  <si>
    <t xml:space="preserve">Trade and other payables </t>
  </si>
  <si>
    <t>Net operating assets</t>
  </si>
  <si>
    <t>Total assets</t>
  </si>
  <si>
    <t>Total operating liabilities</t>
  </si>
  <si>
    <t>Assets of disposal groups and n/c assets classified as held for sale</t>
  </si>
  <si>
    <t>Provisions and other payables, n/c</t>
  </si>
  <si>
    <t>Cash equivalents (financial)</t>
  </si>
  <si>
    <t>Cash (operating)</t>
  </si>
  <si>
    <t>Cash and cash equivalents</t>
  </si>
  <si>
    <t>Short-term investments</t>
  </si>
  <si>
    <t>Current tax assets</t>
  </si>
  <si>
    <t>Derivative financial instruments</t>
  </si>
  <si>
    <t>Operating liabilities</t>
  </si>
  <si>
    <t>Loans and advances to customers</t>
  </si>
  <si>
    <t>Total operating assets</t>
  </si>
  <si>
    <t>Trade and other receivables</t>
  </si>
  <si>
    <t>Inventories</t>
  </si>
  <si>
    <t>Deferred tax assets</t>
  </si>
  <si>
    <t>Investments accounted for by the equity method</t>
  </si>
  <si>
    <t>Investment property</t>
  </si>
  <si>
    <t>Other investments</t>
  </si>
  <si>
    <t>Investments in joint ventures and associates</t>
  </si>
  <si>
    <t>Trade receivables</t>
  </si>
  <si>
    <t>Property, plant and equipment</t>
  </si>
  <si>
    <t>Goodwill &amp; other intangible assets</t>
  </si>
  <si>
    <t>Operating assets</t>
  </si>
  <si>
    <t>Non-current assets</t>
  </si>
  <si>
    <t>28 February</t>
  </si>
  <si>
    <t>Reformulated B/S</t>
  </si>
  <si>
    <t>Reformulated</t>
  </si>
  <si>
    <t>Clsf.</t>
  </si>
  <si>
    <t>Reported</t>
  </si>
  <si>
    <t>Group balance sheet</t>
  </si>
  <si>
    <t>Operating profit by business segments</t>
  </si>
  <si>
    <t>(as reported)</t>
  </si>
  <si>
    <t>Operating profit from sales, before tax</t>
  </si>
  <si>
    <t>Common-size I/S</t>
  </si>
  <si>
    <t>Retail</t>
  </si>
  <si>
    <t>Current assets for Retail</t>
  </si>
  <si>
    <t>Current liabilities for Retail</t>
  </si>
  <si>
    <t>Retail working capital</t>
  </si>
  <si>
    <t>Retail - total</t>
  </si>
  <si>
    <t>Operating expense: Retail (recurring)</t>
  </si>
  <si>
    <t>Operating profit: Retail (recurring)</t>
  </si>
  <si>
    <t xml:space="preserve">Retail sales by regions </t>
  </si>
  <si>
    <t>Revenues at constant exchange rates</t>
  </si>
  <si>
    <t>Growth rates</t>
  </si>
  <si>
    <t>EBIT (recurring)</t>
  </si>
  <si>
    <t>EBITDA (recurring)</t>
  </si>
  <si>
    <t>Contributions</t>
  </si>
  <si>
    <t>Retail by regions</t>
  </si>
  <si>
    <t>2015 (R)</t>
  </si>
  <si>
    <t>Contributions of business segments/regions</t>
  </si>
  <si>
    <t>International*</t>
  </si>
  <si>
    <t>* In 2015, Tesco sold its South Korea operation, which is included in 2014's results.</t>
  </si>
  <si>
    <t>Common-size B/S</t>
  </si>
  <si>
    <t>(£m)</t>
  </si>
  <si>
    <t>Total financial assets</t>
  </si>
  <si>
    <t>Ordinary shareholders' equity</t>
  </si>
  <si>
    <t>Financial review</t>
  </si>
  <si>
    <t>Investing efficiency: working capital (retail only)</t>
  </si>
  <si>
    <t>Investing efficiency: non-current assets (retail only)</t>
  </si>
  <si>
    <t>PPE T/O (with capitalized operating leases)</t>
  </si>
  <si>
    <t>Liquidity</t>
  </si>
  <si>
    <t>CFO ratio</t>
  </si>
  <si>
    <t>Tesco</t>
  </si>
  <si>
    <t>Carrefour</t>
  </si>
  <si>
    <t>*</t>
  </si>
  <si>
    <t>Alternative indicators</t>
  </si>
  <si>
    <t>PPE T/O</t>
  </si>
  <si>
    <t>NFLev with disc't O/L</t>
  </si>
  <si>
    <t>Cash flow from operations excluding working capital</t>
  </si>
  <si>
    <t>Cash flow analysis</t>
  </si>
  <si>
    <t>Cash generated (used) in financial services</t>
  </si>
  <si>
    <t>Retail cash flow before adjusting for W/C</t>
  </si>
  <si>
    <t>Acquisition of PPE and other assets</t>
  </si>
  <si>
    <t>Disposal of PPE and other assets</t>
  </si>
  <si>
    <t>Others</t>
  </si>
  <si>
    <t>Other cash flows</t>
  </si>
  <si>
    <t>Total financing cash flows</t>
  </si>
  <si>
    <t>Cash generated (used) in retail</t>
  </si>
  <si>
    <t>Tax (paid) refunded for operating activities</t>
  </si>
  <si>
    <t>Note 2: Segment reporting</t>
  </si>
  <si>
    <t xml:space="preserve">Cash flow from operations excluding working capital </t>
  </si>
  <si>
    <t xml:space="preserve">Decrease/ (increase) in working capital </t>
  </si>
  <si>
    <t>Tesco Bank</t>
  </si>
  <si>
    <t>Ratios</t>
  </si>
  <si>
    <t>Reality check</t>
  </si>
  <si>
    <t>Total financing cash flow</t>
  </si>
  <si>
    <t>Capital expenditure, net of disposal (CE)</t>
  </si>
  <si>
    <t>Adjustments:</t>
  </si>
  <si>
    <t>2016A</t>
  </si>
  <si>
    <t>Statement of cash flow</t>
  </si>
  <si>
    <t>F.S.</t>
  </si>
  <si>
    <t>Balance sheet</t>
  </si>
  <si>
    <t>Fin. services</t>
  </si>
  <si>
    <t>Income statement</t>
  </si>
  <si>
    <t>Statement of Shareholders' Equity</t>
  </si>
  <si>
    <t>Retained earnings - Profit for O/S</t>
  </si>
  <si>
    <t>OCI</t>
  </si>
  <si>
    <t>Purchase of treasury shares</t>
  </si>
  <si>
    <t>Share-based payment</t>
  </si>
  <si>
    <t>Share buybacks</t>
  </si>
  <si>
    <t>New issues</t>
  </si>
  <si>
    <t>Dividend authorised - O/E</t>
  </si>
  <si>
    <t>Changes in OSE</t>
  </si>
  <si>
    <t>EBITDAS (recurring)</t>
  </si>
  <si>
    <t>Share-based payments</t>
  </si>
  <si>
    <t>OWC T/O: financial services</t>
  </si>
  <si>
    <t>Cash investment</t>
  </si>
  <si>
    <t>Step 1</t>
  </si>
  <si>
    <t>Step 2</t>
  </si>
  <si>
    <t>Step 3</t>
  </si>
  <si>
    <t>Step 4</t>
  </si>
  <si>
    <t>Step 5</t>
  </si>
  <si>
    <t>Step 6</t>
  </si>
  <si>
    <t>Actual</t>
  </si>
  <si>
    <t>Retail: UK &amp; ROI</t>
  </si>
  <si>
    <t>Retail: International</t>
  </si>
  <si>
    <t>Net profit attr. to non-controlling interests</t>
  </si>
  <si>
    <t>Others: non-recurring, profit for NCI, disc't. op., etc (after tax)</t>
  </si>
  <si>
    <t>Others: NCI, assets for sale, etc.</t>
  </si>
  <si>
    <t>NOA TO</t>
  </si>
  <si>
    <t>NFLev</t>
  </si>
  <si>
    <t>Statement of shareholders' equity</t>
  </si>
  <si>
    <t>Calculation</t>
  </si>
  <si>
    <t>Assumption (forecasted)</t>
  </si>
  <si>
    <t>Assumption for capital expenditure</t>
  </si>
  <si>
    <t>Net profit attr. to O/S</t>
  </si>
  <si>
    <t>Total financial liabilities</t>
  </si>
  <si>
    <t>Revenues by business segments</t>
  </si>
  <si>
    <t>Revenues: foreign revenues converted using prior year's exchange rates</t>
  </si>
  <si>
    <t>PPE TO</t>
  </si>
  <si>
    <t>Example 1: Value Tesco using the Multiple Method</t>
  </si>
  <si>
    <t>(Data source: pro forma F/S; market data; consensus forecasts)</t>
  </si>
  <si>
    <t>Listing</t>
  </si>
  <si>
    <t>Share price</t>
  </si>
  <si>
    <t>Ord. shares outstanding</t>
  </si>
  <si>
    <t>Cap</t>
  </si>
  <si>
    <t>Net debt, i.e., NFL</t>
  </si>
  <si>
    <t>Sales revenue</t>
  </si>
  <si>
    <t>EBITDA</t>
  </si>
  <si>
    <t>Ordinary equity</t>
  </si>
  <si>
    <t>Company</t>
  </si>
  <si>
    <t>Ticker</t>
  </si>
  <si>
    <t>exchange</t>
  </si>
  <si>
    <t>Currency</t>
  </si>
  <si>
    <t>(£/€)</t>
  </si>
  <si>
    <t>(# mil.)</t>
  </si>
  <si>
    <t>(£/€ mil.)</t>
  </si>
  <si>
    <t>2015/16A</t>
  </si>
  <si>
    <t>2016/17E</t>
  </si>
  <si>
    <t>TSCO</t>
  </si>
  <si>
    <t>LSE</t>
  </si>
  <si>
    <t>£</t>
  </si>
  <si>
    <t>Ahold</t>
  </si>
  <si>
    <t>AD</t>
  </si>
  <si>
    <t>AEX</t>
  </si>
  <si>
    <t>€</t>
  </si>
  <si>
    <t>Booker</t>
  </si>
  <si>
    <t>BOK</t>
  </si>
  <si>
    <t>CA</t>
  </si>
  <si>
    <t>PAR</t>
  </si>
  <si>
    <t>Casino</t>
  </si>
  <si>
    <t>CO</t>
  </si>
  <si>
    <t>Colruyt</t>
  </si>
  <si>
    <t>COLR</t>
  </si>
  <si>
    <t>BRU</t>
  </si>
  <si>
    <t>DIA</t>
  </si>
  <si>
    <t>MCE</t>
  </si>
  <si>
    <t>Metro</t>
  </si>
  <si>
    <t>MEOX</t>
  </si>
  <si>
    <t>GER</t>
  </si>
  <si>
    <t>Morrison</t>
  </si>
  <si>
    <t>MRW</t>
  </si>
  <si>
    <t>Sainsbury</t>
  </si>
  <si>
    <t>SBRY</t>
  </si>
  <si>
    <t xml:space="preserve">Date of valuation: </t>
  </si>
  <si>
    <t>Step 1: Choice of value driver</t>
  </si>
  <si>
    <t>NOA0</t>
  </si>
  <si>
    <t>S0</t>
  </si>
  <si>
    <t>EBITDA0</t>
  </si>
  <si>
    <t>B0</t>
  </si>
  <si>
    <t>E0</t>
  </si>
  <si>
    <t>E1</t>
  </si>
  <si>
    <t>Multiples of comparables</t>
  </si>
  <si>
    <t>Enterprise</t>
  </si>
  <si>
    <t>Step 2 &amp; 3: Choice of comparables; calculate intrinsic value</t>
  </si>
  <si>
    <t>1. Mean of all comparables</t>
  </si>
  <si>
    <t>Benchmark multiple</t>
  </si>
  <si>
    <t>Tesco's value driver (per share)</t>
  </si>
  <si>
    <t>Adjustment (NFL, per share)</t>
  </si>
  <si>
    <t>Intrinsic value of equity (per share)</t>
  </si>
  <si>
    <t>Error (% of share price)</t>
  </si>
  <si>
    <t>2. Mean of comparables with similar size</t>
  </si>
  <si>
    <t>3. Mean of comparables with similar size and leverage</t>
  </si>
  <si>
    <t>4. Harmonic mean of all comparables</t>
  </si>
  <si>
    <t>Year #</t>
  </si>
  <si>
    <t>(Fiscal year ended in Feb)</t>
  </si>
  <si>
    <t>CoE =</t>
  </si>
  <si>
    <t>DDM</t>
  </si>
  <si>
    <t>Dividend</t>
  </si>
  <si>
    <t>Dvd' GR</t>
  </si>
  <si>
    <t>Intrinsic value of equity, total</t>
  </si>
  <si>
    <t>% of disc. TV in IV</t>
  </si>
  <si>
    <t>Equity value, per share</t>
  </si>
  <si>
    <t>RIVM</t>
  </si>
  <si>
    <t>Earnings</t>
  </si>
  <si>
    <t>Book value</t>
  </si>
  <si>
    <t>RI</t>
  </si>
  <si>
    <t>RI's GR</t>
  </si>
  <si>
    <t>Adjustment: PV of RI and TV</t>
  </si>
  <si>
    <t>Anchor: BV0</t>
  </si>
  <si>
    <t>AEG's GR</t>
  </si>
  <si>
    <t>Anchor: Capitalized E1</t>
  </si>
  <si>
    <t>Method 2:</t>
  </si>
  <si>
    <t>WACC =</t>
  </si>
  <si>
    <t>DCF</t>
  </si>
  <si>
    <t>FCF</t>
  </si>
  <si>
    <t>FCF's GR</t>
  </si>
  <si>
    <t>Enterprise RIVM</t>
  </si>
  <si>
    <t>OI</t>
  </si>
  <si>
    <t>NOA</t>
  </si>
  <si>
    <t>ROI</t>
  </si>
  <si>
    <t>ROI's GR</t>
  </si>
  <si>
    <t>Adjustment: PV of ROI and TV</t>
  </si>
  <si>
    <t>Anchor: NOA</t>
  </si>
  <si>
    <t>EV</t>
  </si>
  <si>
    <t>Enterprise AEGM</t>
  </si>
  <si>
    <t>AOIG's GR</t>
  </si>
  <si>
    <t>Anchor: Capitalized OI1</t>
  </si>
  <si>
    <t>Example 4: Payoffs, terminal value and discount rate</t>
  </si>
  <si>
    <t>CSR</t>
  </si>
  <si>
    <t>+ Earnings</t>
  </si>
  <si>
    <t>− Dividend</t>
  </si>
  <si>
    <t>Enterprise CSR</t>
  </si>
  <si>
    <t>+ OI</t>
  </si>
  <si>
    <t>− FCF</t>
  </si>
  <si>
    <t>Risk-free rate</t>
  </si>
  <si>
    <t>Beta</t>
  </si>
  <si>
    <t>Market risk premium</t>
  </si>
  <si>
    <t>CoE</t>
  </si>
  <si>
    <t>CoC</t>
  </si>
  <si>
    <t>Weight</t>
  </si>
  <si>
    <t>NFL (after tax)</t>
  </si>
  <si>
    <t>WACC</t>
  </si>
  <si>
    <t>Example 5: Implied long-term growth</t>
  </si>
  <si>
    <t>Assume: Tesco's share price is determined by RIVM</t>
  </si>
  <si>
    <t>RI grows at a constant rate</t>
  </si>
  <si>
    <t>The cost of equity as estimated earlier</t>
  </si>
  <si>
    <t>Comparable firms</t>
  </si>
  <si>
    <t>P/B</t>
  </si>
  <si>
    <t>ROE1</t>
  </si>
  <si>
    <t>Implied g</t>
  </si>
  <si>
    <t>Harmonic mean of comparables' implied g</t>
  </si>
  <si>
    <t>Valuation date:</t>
  </si>
  <si>
    <t>2017/18E</t>
  </si>
  <si>
    <t>2018/19E</t>
  </si>
  <si>
    <t>Symbol/formula/source</t>
  </si>
  <si>
    <t>G</t>
  </si>
  <si>
    <t>REV</t>
  </si>
  <si>
    <t>EBITDASM</t>
  </si>
  <si>
    <t>EBITDAS = REV × EBITDASM</t>
  </si>
  <si>
    <t>DR</t>
  </si>
  <si>
    <t>SBC = Rev × 0.5%</t>
  </si>
  <si>
    <t>OP</t>
  </si>
  <si>
    <t>ETR</t>
  </si>
  <si>
    <t>NBC</t>
  </si>
  <si>
    <t>NP</t>
  </si>
  <si>
    <t>OWC TO</t>
  </si>
  <si>
    <t>= 1% of REV</t>
  </si>
  <si>
    <t>NFL = NOA - OSE - Others</t>
  </si>
  <si>
    <t>OSE; from SSE</t>
  </si>
  <si>
    <t>From prior year</t>
  </si>
  <si>
    <t>NP; from I/S</t>
  </si>
  <si>
    <t>PO</t>
  </si>
  <si>
    <t>DIV = NP × PO</t>
  </si>
  <si>
    <t>SBC; from I/S</t>
  </si>
  <si>
    <t>From B/S</t>
  </si>
  <si>
    <t>From I/S</t>
  </si>
  <si>
    <t>CE</t>
  </si>
  <si>
    <t>ΔNFL; from B/S</t>
  </si>
  <si>
    <t>From SSE</t>
  </si>
  <si>
    <t>Revenue growth rate</t>
  </si>
  <si>
    <t>Total revenue</t>
  </si>
  <si>
    <t>EBITDAS margin</t>
  </si>
  <si>
    <t>EBITDAS</t>
  </si>
  <si>
    <t>Depreciation rate</t>
  </si>
  <si>
    <t>- Depreciation</t>
  </si>
  <si>
    <t>- Share-based compensation</t>
  </si>
  <si>
    <t>Op. profit from sales</t>
  </si>
  <si>
    <t>Effective tax rate</t>
  </si>
  <si>
    <t>Net operating profit</t>
  </si>
  <si>
    <t>Net borrowing cost</t>
  </si>
  <si>
    <t>- Net finance cost, after tax</t>
  </si>
  <si>
    <t>Op. working capital</t>
  </si>
  <si>
    <t>Op. working capital turnover</t>
  </si>
  <si>
    <t>Non-depreciable n/c NOA</t>
  </si>
  <si>
    <t>Depreciable n/c op. assets</t>
  </si>
  <si>
    <t>Net financial liabilities</t>
  </si>
  <si>
    <t>Ordinary shareholder's equity</t>
  </si>
  <si>
    <t>OSE, beginning</t>
  </si>
  <si>
    <t>Payout ratio</t>
  </si>
  <si>
    <t>Share-based compensation</t>
  </si>
  <si>
    <t>Other comp. income</t>
  </si>
  <si>
    <t>OSE, ending</t>
  </si>
  <si>
    <t>Depreciation</t>
  </si>
  <si>
    <t>Change in OWC - retail &amp; F.S.</t>
  </si>
  <si>
    <t>Change in other n/c NOA</t>
  </si>
  <si>
    <t>Net borrowing</t>
  </si>
  <si>
    <t>- Dividend</t>
  </si>
  <si>
    <t>Pro forma</t>
  </si>
  <si>
    <t>Others: ΔNCI, OCI, etc.</t>
  </si>
  <si>
    <t>From B/S, SSE</t>
  </si>
  <si>
    <t>30-Apr-2016</t>
  </si>
  <si>
    <t>Company:</t>
  </si>
  <si>
    <t>Comprehensive forecasting 
(from pro forma FS)</t>
  </si>
  <si>
    <t>Year (£ mil., except per share and %)</t>
  </si>
  <si>
    <t xml:space="preserve">Adjustment: PV of AEG &amp; TV, caplzd. </t>
  </si>
  <si>
    <t>Adjustment: PV of AOIG &amp; TV, capltzd.</t>
  </si>
  <si>
    <t>Method 2</t>
  </si>
  <si>
    <t>Year</t>
  </si>
  <si>
    <t>Steady state 
(beyond forecast horizon)</t>
  </si>
  <si>
    <t>ROE is constant</t>
  </si>
  <si>
    <t>− NFL</t>
  </si>
  <si>
    <t>Avg. P/E of FTSE100 @ valuation date</t>
  </si>
  <si>
    <t>Terminal value</t>
  </si>
  <si>
    <t xml:space="preserve">- Use the constant growth formula: </t>
  </si>
  <si>
    <t>- Use the exit multiple method</t>
  </si>
  <si>
    <t>Value (£m)</t>
  </si>
  <si>
    <t>Discount rate</t>
  </si>
  <si>
    <t># shares outstanding (diluted; mil.)</t>
  </si>
  <si>
    <t>Payoffs</t>
  </si>
  <si>
    <t>Example 2: Valuation using the Sum-of-the-Parts Method</t>
  </si>
  <si>
    <t>Sales</t>
  </si>
  <si>
    <t>Benchmark</t>
  </si>
  <si>
    <t>Estimate</t>
  </si>
  <si>
    <t>(16/17E; £m)</t>
  </si>
  <si>
    <t>EV/S1</t>
  </si>
  <si>
    <t>(£; per share)</t>
  </si>
  <si>
    <t>UK</t>
  </si>
  <si>
    <t>Asia</t>
  </si>
  <si>
    <t>Rest of Europe</t>
  </si>
  <si>
    <t>Intrinsic enterprise value</t>
  </si>
  <si>
    <t>Intrinsic value of equity</t>
  </si>
  <si>
    <t>ROOE = RNOA + NFLev×(RNOA-NBC)</t>
  </si>
  <si>
    <t>NFLev (avg.)</t>
  </si>
  <si>
    <t>REVt+1 = REVt × (1+ Gt+1)</t>
  </si>
  <si>
    <t>NBC (net borrowing cost)</t>
  </si>
  <si>
    <t>Spread (= RNOA - NBC)</t>
  </si>
  <si>
    <t>RNOA = NOPM×NOA T/O</t>
  </si>
  <si>
    <t>ROE = ROA×FL</t>
  </si>
  <si>
    <t>Dept+1 = DAt × DRt+1</t>
  </si>
  <si>
    <t>ROE (cont. &amp; discont. op.)</t>
  </si>
  <si>
    <t>× FL (avg.)</t>
  </si>
  <si>
    <t>NOP = OP × (1-ETR)</t>
  </si>
  <si>
    <t>ROA = NPM×ATO</t>
  </si>
  <si>
    <t>NFCt+1 = NBCt+1 × NFLt</t>
  </si>
  <si>
    <t>Days of T/R collection [a]</t>
  </si>
  <si>
    <t>OWC = REV / OWC TO</t>
  </si>
  <si>
    <t>Days of inventory holding [b]</t>
  </si>
  <si>
    <t>Days of T/P outstanding [c]</t>
  </si>
  <si>
    <t>Cash cycle (= [a] + [b] - [c])</t>
  </si>
  <si>
    <t>DAt+1 = DAt + CEt+1 - Dept+1</t>
  </si>
  <si>
    <t>Cash ratio (retail only)</t>
  </si>
  <si>
    <t>NFLev (Yr end)</t>
  </si>
  <si>
    <t>Operating expense: F.S. (= F.S. Rev - F.S. OP)</t>
  </si>
  <si>
    <t>Effective tax rate (ETR) for recurring items</t>
  </si>
  <si>
    <t>I/S</t>
  </si>
  <si>
    <t>B/S</t>
  </si>
  <si>
    <t>SSE</t>
  </si>
  <si>
    <t>SCF</t>
  </si>
  <si>
    <t>Refm. I/S</t>
  </si>
  <si>
    <t>Refm. B/S</t>
  </si>
  <si>
    <t>Refm. SCF</t>
  </si>
  <si>
    <t>Column1</t>
  </si>
  <si>
    <t>Column2</t>
  </si>
  <si>
    <t>Column3</t>
  </si>
  <si>
    <t>Column4</t>
  </si>
  <si>
    <t>Column5</t>
  </si>
  <si>
    <t>Column6</t>
  </si>
  <si>
    <t>Sum</t>
  </si>
  <si>
    <t>Average</t>
  </si>
  <si>
    <t>Running Total</t>
  </si>
  <si>
    <t>Count</t>
  </si>
  <si>
    <t>(£/€ mil.)2</t>
  </si>
  <si>
    <t>(£/€ mil.)3</t>
  </si>
  <si>
    <t>(£/€ mil.)4</t>
  </si>
  <si>
    <t>(£/€ mil.)5</t>
  </si>
  <si>
    <t>(£/€ mil.)6</t>
  </si>
  <si>
    <r>
      <t xml:space="preserve">Example 1. DDM &amp; RIVM </t>
    </r>
    <r>
      <rPr>
        <sz val="10"/>
        <color rgb="FF000000"/>
        <rFont val="Arial"/>
        <family val="2"/>
      </rPr>
      <t>(also Example 4)</t>
    </r>
  </si>
  <si>
    <r>
      <t>Example 2. AEGM</t>
    </r>
    <r>
      <rPr>
        <sz val="10"/>
        <color rgb="FF000000"/>
        <rFont val="Arial"/>
        <family val="2"/>
      </rPr>
      <t xml:space="preserve"> (also Example 4)</t>
    </r>
  </si>
  <si>
    <r>
      <t>AEG</t>
    </r>
    <r>
      <rPr>
        <b/>
        <vertAlign val="subscript"/>
        <sz val="10"/>
        <color rgb="FF000000"/>
        <rFont val="Arial"/>
        <family val="2"/>
      </rPr>
      <t>t+1</t>
    </r>
  </si>
  <si>
    <r>
      <t>Example 3. Enterprise-level models</t>
    </r>
    <r>
      <rPr>
        <sz val="10"/>
        <color rgb="FF000000"/>
        <rFont val="Arial"/>
        <family val="2"/>
      </rPr>
      <t xml:space="preserve"> (also Example 4)</t>
    </r>
  </si>
  <si>
    <r>
      <t>PV of FCF and EV</t>
    </r>
    <r>
      <rPr>
        <vertAlign val="subscript"/>
        <sz val="10"/>
        <color rgb="FF000000"/>
        <rFont val="Arial"/>
        <family val="2"/>
      </rPr>
      <t>T</t>
    </r>
  </si>
  <si>
    <r>
      <t>AOIG</t>
    </r>
    <r>
      <rPr>
        <b/>
        <vertAlign val="subscript"/>
        <sz val="10"/>
        <color rgb="FF000000"/>
        <rFont val="Arial"/>
        <family val="2"/>
      </rPr>
      <t>t+1</t>
    </r>
  </si>
  <si>
    <r>
      <t>AOIG</t>
    </r>
    <r>
      <rPr>
        <vertAlign val="subscript"/>
        <sz val="10"/>
        <color rgb="FF000000"/>
        <rFont val="Arial"/>
        <family val="2"/>
      </rPr>
      <t>t+1</t>
    </r>
  </si>
  <si>
    <r>
      <t>BV</t>
    </r>
    <r>
      <rPr>
        <vertAlign val="subscript"/>
        <sz val="10"/>
        <color rgb="FF000000"/>
        <rFont val="Arial"/>
        <family val="2"/>
      </rPr>
      <t>t-1</t>
    </r>
  </si>
  <si>
    <r>
      <t>= BV</t>
    </r>
    <r>
      <rPr>
        <vertAlign val="subscript"/>
        <sz val="10"/>
        <color rgb="FF000000"/>
        <rFont val="Arial"/>
        <family val="2"/>
      </rPr>
      <t>t</t>
    </r>
  </si>
  <si>
    <r>
      <t>NOA</t>
    </r>
    <r>
      <rPr>
        <vertAlign val="subscript"/>
        <sz val="10"/>
        <color rgb="FF000000"/>
        <rFont val="Arial"/>
        <family val="2"/>
      </rPr>
      <t>t-1</t>
    </r>
  </si>
  <si>
    <r>
      <t>= NOA</t>
    </r>
    <r>
      <rPr>
        <vertAlign val="subscript"/>
        <sz val="10"/>
        <color rgb="FF000000"/>
        <rFont val="Arial"/>
        <family val="2"/>
      </rPr>
      <t>t</t>
    </r>
  </si>
  <si>
    <r>
      <t>g = CoE</t>
    </r>
    <r>
      <rPr>
        <sz val="10"/>
        <color rgb="FF000000"/>
        <rFont val="Arial"/>
        <family val="2"/>
      </rPr>
      <t xml:space="preserve"> - (</t>
    </r>
    <r>
      <rPr>
        <i/>
        <sz val="10"/>
        <color rgb="FF000000"/>
        <rFont val="Arial"/>
        <family val="2"/>
      </rPr>
      <t>ROE</t>
    </r>
    <r>
      <rPr>
        <sz val="10"/>
        <color rgb="FF000000"/>
        <rFont val="Arial"/>
        <family val="2"/>
      </rPr>
      <t xml:space="preserve">1 - </t>
    </r>
    <r>
      <rPr>
        <i/>
        <sz val="10"/>
        <color rgb="FF000000"/>
        <rFont val="Arial"/>
        <family val="2"/>
      </rPr>
      <t>CoE</t>
    </r>
    <r>
      <rPr>
        <sz val="10"/>
        <color rgb="FF000000"/>
        <rFont val="Arial"/>
        <family val="2"/>
      </rPr>
      <t>)/(</t>
    </r>
    <r>
      <rPr>
        <i/>
        <sz val="10"/>
        <color rgb="FF000000"/>
        <rFont val="Arial"/>
        <family val="2"/>
      </rPr>
      <t xml:space="preserve">P/B </t>
    </r>
    <r>
      <rPr>
        <sz val="10"/>
        <color rgb="FF000000"/>
        <rFont val="Arial"/>
        <family val="2"/>
      </rPr>
      <t>- 1)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</si>
</sst>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quot;£&quot;#,##0.00;[Red]\-&quot;£&quot;#,##0.00"/>
    <numFmt numFmtId="165" formatCode="_-* #,##0.00_-;\-* #,##0.00_-;_-* &quot;-&quot;??_-;_-@_-"/>
    <numFmt numFmtId="169" formatCode="0.0%"/>
    <numFmt numFmtId="170" formatCode="_(* #,##0_);_(* \(#,##0\);_(* &quot;-&quot;??_);_(@_)"/>
    <numFmt numFmtId="172" formatCode="0.000"/>
    <numFmt numFmtId="177" formatCode="_(* #,##0.00_);_(* \(#,##0.00\);_(* &quot;-&quot;??_);_(@_)"/>
    <numFmt numFmtId="178" formatCode="_-* #,##0_-;\-* #,##0_-;_-* &quot;-&quot;??_-;_-@_-"/>
    <numFmt numFmtId="179" formatCode="_-[$£-809]* #,##0.00_-;\-[$£-809]* #,##0.00_-;_-[$£-809]* &quot;-&quot;??_-;_-@_-"/>
    <numFmt numFmtId="180" formatCode="_(* #,##0.0_);_(* \(#,##0.0\);_(* &quot;-&quot;??_);_(@_)"/>
    <numFmt numFmtId="181" formatCode="&quot;£&quot;#,##0.00"/>
  </numFmts>
  <fonts count="21" x14ac:knownFonts="1">
    <font>
      <sz val="11"/>
      <color theme="1"/>
      <name val="Calibri"/>
      <family val="2"/>
      <scheme val="minor"/>
    </font>
    <font>
      <sz val="11"/>
      <color theme="1"/>
      <name val="Calibri"/>
      <family val="2"/>
      <scheme val="minor"/>
    </font>
    <font>
      <sz val="10"/>
      <name val="Arial"/>
      <family val="2"/>
    </font>
    <font>
      <u/>
      <sz val="10"/>
      <name val="Arial"/>
      <family val="2"/>
    </font>
    <font>
      <sz val="9"/>
      <color indexed="81"/>
      <name val="Tahoma"/>
      <family val="2"/>
    </font>
    <font>
      <u/>
      <sz val="11"/>
      <color theme="10"/>
      <name val="Calibri"/>
      <family val="2"/>
      <scheme val="minor"/>
    </font>
    <font>
      <sz val="8"/>
      <color indexed="81"/>
      <name val="Tahoma"/>
      <family val="2"/>
    </font>
    <font>
      <sz val="10"/>
      <color indexed="81"/>
      <name val="Tahoma"/>
      <family val="2"/>
    </font>
    <font>
      <b/>
      <sz val="11"/>
      <color theme="1"/>
      <name val="Calibri"/>
      <family val="2"/>
      <scheme val="minor"/>
    </font>
    <font>
      <b/>
      <sz val="10"/>
      <color rgb="FF000000"/>
      <name val="Arial"/>
      <family val="2"/>
    </font>
    <font>
      <i/>
      <sz val="9"/>
      <color rgb="FF000000"/>
      <name val="Arial"/>
      <family val="2"/>
    </font>
    <font>
      <sz val="10"/>
      <color rgb="FF000000"/>
      <name val="Arial"/>
      <family val="2"/>
    </font>
    <font>
      <i/>
      <sz val="10"/>
      <color rgb="FF000000"/>
      <name val="Arial"/>
      <family val="2"/>
    </font>
    <font>
      <b/>
      <u val="doubleAccounting"/>
      <sz val="10"/>
      <color rgb="FF000000"/>
      <name val="Arial"/>
      <family val="2"/>
    </font>
    <font>
      <u val="singleAccounting"/>
      <sz val="10"/>
      <color rgb="FF000000"/>
      <name val="Arial"/>
      <family val="2"/>
    </font>
    <font>
      <b/>
      <vertAlign val="subscript"/>
      <sz val="10"/>
      <color rgb="FF000000"/>
      <name val="Arial"/>
      <family val="2"/>
    </font>
    <font>
      <vertAlign val="subscript"/>
      <sz val="10"/>
      <color rgb="FF000000"/>
      <name val="Arial"/>
      <family val="2"/>
    </font>
    <font>
      <b/>
      <u val="double"/>
      <sz val="10"/>
      <color rgb="FF000000"/>
      <name val="Arial"/>
      <family val="2"/>
    </font>
    <font>
      <b/>
      <i/>
      <u val="double"/>
      <sz val="10"/>
      <color rgb="FF000000"/>
      <name val="Arial"/>
      <family val="2"/>
    </font>
    <font>
      <u/>
      <sz val="10"/>
      <color rgb="FF000000"/>
      <name val="Arial"/>
      <family val="2"/>
    </font>
    <font>
      <u/>
      <sz val="11"/>
      <color rgb="FF0563C1"/>
      <name val="Calibri"/>
      <family val="2"/>
    </font>
  </fonts>
  <fills count="5">
    <fill>
      <patternFill patternType="none"/>
    </fill>
    <fill>
      <patternFill patternType="gray125"/>
    </fill>
    <fill>
      <patternFill patternType="solid">
        <fgColor rgb="FFBDD7EE"/>
        <bgColor rgb="FF000000"/>
      </patternFill>
    </fill>
    <fill>
      <patternFill patternType="solid">
        <fgColor rgb="FFD9D9D9"/>
        <bgColor rgb="FF000000"/>
      </patternFill>
    </fill>
    <fill>
      <patternFill patternType="solid">
        <fgColor rgb="FFFCE4D6"/>
        <bgColor rgb="FF000000"/>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5" fillId="0" borderId="0" applyNumberFormat="0" applyFill="0" applyBorder="0" applyAlignment="0" applyProtection="0"/>
    <xf numFmtId="177" fontId="1" fillId="0" borderId="0" applyFont="0" applyFill="0" applyBorder="0" applyAlignment="0" applyProtection="0"/>
    <xf numFmtId="165" fontId="1" fillId="0" borderId="0" applyFont="0" applyFill="0" applyBorder="0" applyAlignment="0" applyProtection="0"/>
  </cellStyleXfs>
  <cellXfs count="98">
    <xf numFmtId="0" fontId="0" fillId="0" borderId="0" xfId="0"/>
    <xf numFmtId="0" fontId="2" fillId="0" borderId="0" xfId="0" applyFont="1" applyAlignment="1">
      <alignment horizontal="left" vertical="center" wrapText="1"/>
    </xf>
    <xf numFmtId="3" fontId="2" fillId="0" borderId="0" xfId="0" applyNumberFormat="1" applyFont="1" applyAlignment="1">
      <alignment horizontal="right" vertical="center" wrapText="1"/>
    </xf>
    <xf numFmtId="0" fontId="3" fillId="0" borderId="0" xfId="0" applyFont="1" applyAlignment="1">
      <alignment horizontal="left" vertical="center"/>
    </xf>
    <xf numFmtId="0" fontId="2" fillId="0" borderId="0" xfId="0" quotePrefix="1" applyFont="1" applyAlignment="1">
      <alignment horizontal="left" vertical="center"/>
    </xf>
    <xf numFmtId="0" fontId="8" fillId="0" borderId="0" xfId="0" applyFont="1"/>
    <xf numFmtId="0" fontId="9" fillId="0" borderId="0" xfId="0" applyFont="1"/>
    <xf numFmtId="0" fontId="9" fillId="0" borderId="0" xfId="0" applyFont="1" applyAlignment="1">
      <alignment horizontal="center"/>
    </xf>
    <xf numFmtId="0" fontId="9" fillId="0" borderId="2" xfId="0" applyFont="1" applyBorder="1" applyAlignment="1">
      <alignment horizontal="center" wrapText="1"/>
    </xf>
    <xf numFmtId="0" fontId="10" fillId="0" borderId="1" xfId="0" applyFont="1" applyBorder="1"/>
    <xf numFmtId="0" fontId="10" fillId="0" borderId="1" xfId="0" applyFont="1" applyBorder="1" applyAlignment="1">
      <alignment horizontal="center"/>
    </xf>
    <xf numFmtId="0" fontId="11" fillId="0" borderId="0" xfId="0" applyFont="1"/>
    <xf numFmtId="0" fontId="11" fillId="0" borderId="0" xfId="0" applyFont="1" applyAlignment="1">
      <alignment horizontal="right" indent="1"/>
    </xf>
    <xf numFmtId="0" fontId="11" fillId="0" borderId="0" xfId="0" applyFont="1" applyAlignment="1">
      <alignment horizontal="center"/>
    </xf>
    <xf numFmtId="15" fontId="11" fillId="0" borderId="0" xfId="0" applyNumberFormat="1" applyFont="1"/>
    <xf numFmtId="0" fontId="9" fillId="0" borderId="0" xfId="0" applyFont="1" applyAlignment="1">
      <alignment horizontal="right"/>
    </xf>
    <xf numFmtId="169" fontId="9" fillId="0" borderId="0" xfId="0" applyNumberFormat="1" applyFont="1" applyAlignment="1">
      <alignment horizontal="left"/>
    </xf>
    <xf numFmtId="10" fontId="9" fillId="0" borderId="0" xfId="0" applyNumberFormat="1" applyFont="1" applyAlignment="1">
      <alignment horizontal="left"/>
    </xf>
    <xf numFmtId="0" fontId="9" fillId="0" borderId="0" xfId="0" applyFont="1" applyAlignment="1">
      <alignment horizontal="left"/>
    </xf>
    <xf numFmtId="0" fontId="11" fillId="0" borderId="1" xfId="0" applyFont="1" applyBorder="1"/>
    <xf numFmtId="0" fontId="11" fillId="0" borderId="1" xfId="0" applyFont="1" applyBorder="1" applyAlignment="1">
      <alignment horizontal="center"/>
    </xf>
    <xf numFmtId="0" fontId="11" fillId="2" borderId="1" xfId="0" applyFont="1" applyFill="1" applyBorder="1" applyAlignment="1">
      <alignment horizontal="center"/>
    </xf>
    <xf numFmtId="170" fontId="9" fillId="0" borderId="0" xfId="3" applyNumberFormat="1" applyFont="1" applyFill="1" applyBorder="1" applyAlignment="1">
      <alignment vertical="center"/>
    </xf>
    <xf numFmtId="170" fontId="11" fillId="2" borderId="0" xfId="3" applyNumberFormat="1" applyFont="1" applyFill="1" applyBorder="1" applyAlignment="1">
      <alignment vertical="center"/>
    </xf>
    <xf numFmtId="0" fontId="12" fillId="0" borderId="0" xfId="0" applyFont="1" applyAlignment="1">
      <alignment horizontal="right"/>
    </xf>
    <xf numFmtId="0" fontId="12" fillId="0" borderId="0" xfId="0" applyFont="1"/>
    <xf numFmtId="172" fontId="12" fillId="0" borderId="0" xfId="0" applyNumberFormat="1" applyFont="1"/>
    <xf numFmtId="9" fontId="12" fillId="0" borderId="0" xfId="1" applyFont="1" applyFill="1" applyBorder="1"/>
    <xf numFmtId="9" fontId="12" fillId="2" borderId="0" xfId="1" applyFont="1" applyFill="1" applyBorder="1"/>
    <xf numFmtId="0" fontId="11" fillId="2" borderId="0" xfId="0" applyFont="1" applyFill="1"/>
    <xf numFmtId="172" fontId="9" fillId="0" borderId="0" xfId="0" applyNumberFormat="1" applyFont="1"/>
    <xf numFmtId="172" fontId="11" fillId="0" borderId="0" xfId="0" applyNumberFormat="1" applyFont="1"/>
    <xf numFmtId="9" fontId="11" fillId="0" borderId="0" xfId="0" applyNumberFormat="1" applyFont="1"/>
    <xf numFmtId="172" fontId="9" fillId="3" borderId="0" xfId="0" applyNumberFormat="1" applyFont="1" applyFill="1"/>
    <xf numFmtId="172" fontId="12" fillId="3" borderId="0" xfId="0" applyNumberFormat="1" applyFont="1" applyFill="1" applyAlignment="1">
      <alignment horizontal="right"/>
    </xf>
    <xf numFmtId="9" fontId="12" fillId="3" borderId="0" xfId="1" applyFont="1" applyFill="1" applyBorder="1" applyAlignment="1">
      <alignment horizontal="center"/>
    </xf>
    <xf numFmtId="179" fontId="13" fillId="0" borderId="0" xfId="3" applyNumberFormat="1" applyFont="1" applyFill="1" applyBorder="1" applyAlignment="1">
      <alignment vertical="center"/>
    </xf>
    <xf numFmtId="170" fontId="11" fillId="0" borderId="0" xfId="3" applyNumberFormat="1" applyFont="1" applyFill="1" applyBorder="1" applyAlignment="1">
      <alignment vertical="center"/>
    </xf>
    <xf numFmtId="170" fontId="14" fillId="0" borderId="0" xfId="3" applyNumberFormat="1" applyFont="1" applyFill="1" applyBorder="1" applyAlignment="1">
      <alignment vertical="center"/>
    </xf>
    <xf numFmtId="170" fontId="14" fillId="2" borderId="0" xfId="3" applyNumberFormat="1" applyFont="1" applyFill="1" applyBorder="1" applyAlignment="1">
      <alignment vertical="center"/>
    </xf>
    <xf numFmtId="180" fontId="9" fillId="0" borderId="0" xfId="3" applyNumberFormat="1" applyFont="1" applyFill="1" applyBorder="1" applyAlignment="1">
      <alignment vertical="center"/>
    </xf>
    <xf numFmtId="180" fontId="11" fillId="2" borderId="0" xfId="3" applyNumberFormat="1" applyFont="1" applyFill="1" applyBorder="1" applyAlignment="1">
      <alignment vertical="center"/>
    </xf>
    <xf numFmtId="0" fontId="12" fillId="2" borderId="0" xfId="0" applyFont="1" applyFill="1"/>
    <xf numFmtId="169" fontId="9" fillId="0" borderId="0" xfId="1" applyNumberFormat="1" applyFont="1" applyFill="1" applyBorder="1" applyAlignment="1">
      <alignment horizontal="left"/>
    </xf>
    <xf numFmtId="10" fontId="9" fillId="0" borderId="0" xfId="1" applyNumberFormat="1" applyFont="1" applyFill="1" applyBorder="1" applyAlignment="1">
      <alignment horizontal="left"/>
    </xf>
    <xf numFmtId="169" fontId="12" fillId="2" borderId="0" xfId="1" applyNumberFormat="1" applyFont="1" applyFill="1" applyBorder="1"/>
    <xf numFmtId="0" fontId="11" fillId="0" borderId="0" xfId="0" quotePrefix="1" applyFont="1"/>
    <xf numFmtId="0" fontId="9" fillId="0" borderId="0" xfId="0" quotePrefix="1" applyFont="1"/>
    <xf numFmtId="181" fontId="17" fillId="0" borderId="0" xfId="0" applyNumberFormat="1" applyFont="1"/>
    <xf numFmtId="181" fontId="11" fillId="0" borderId="0" xfId="0" applyNumberFormat="1" applyFont="1" applyAlignment="1">
      <alignment horizontal="right"/>
    </xf>
    <xf numFmtId="181" fontId="18" fillId="0" borderId="0" xfId="0" applyNumberFormat="1" applyFont="1"/>
    <xf numFmtId="180" fontId="11" fillId="0" borderId="0" xfId="3" applyNumberFormat="1" applyFont="1" applyFill="1" applyBorder="1" applyAlignment="1">
      <alignment vertical="center"/>
    </xf>
    <xf numFmtId="172" fontId="11" fillId="0" borderId="1" xfId="0" applyNumberFormat="1" applyFont="1" applyBorder="1"/>
    <xf numFmtId="180" fontId="11" fillId="0" borderId="0" xfId="0" applyNumberFormat="1" applyFont="1"/>
    <xf numFmtId="0" fontId="19" fillId="0" borderId="0" xfId="0" applyFont="1"/>
    <xf numFmtId="0" fontId="9" fillId="0" borderId="0" xfId="0" applyFont="1" applyAlignment="1">
      <alignment wrapText="1"/>
    </xf>
    <xf numFmtId="0" fontId="9"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4" borderId="3" xfId="0" applyFont="1" applyFill="1" applyBorder="1" applyAlignment="1">
      <alignment horizontal="center" wrapText="1"/>
    </xf>
    <xf numFmtId="0" fontId="11" fillId="2" borderId="3" xfId="0" applyFont="1" applyFill="1" applyBorder="1" applyAlignment="1">
      <alignment horizontal="center" wrapText="1"/>
    </xf>
    <xf numFmtId="0" fontId="11" fillId="0" borderId="0" xfId="0" applyFont="1" applyAlignment="1">
      <alignment horizontal="right"/>
    </xf>
    <xf numFmtId="0" fontId="11" fillId="4" borderId="0" xfId="0" applyFont="1" applyFill="1" applyAlignment="1">
      <alignment horizontal="right"/>
    </xf>
    <xf numFmtId="9" fontId="9" fillId="0" borderId="0" xfId="1" applyFont="1" applyFill="1" applyBorder="1" applyAlignment="1">
      <alignment horizontal="center"/>
    </xf>
    <xf numFmtId="0" fontId="11" fillId="0" borderId="0" xfId="0" applyFont="1" applyAlignment="1">
      <alignment horizontal="left" indent="2"/>
    </xf>
    <xf numFmtId="170" fontId="11" fillId="4" borderId="0" xfId="3" applyNumberFormat="1" applyFont="1" applyFill="1" applyBorder="1" applyAlignment="1">
      <alignment vertical="center"/>
    </xf>
    <xf numFmtId="0" fontId="11" fillId="0" borderId="0" xfId="0" quotePrefix="1" applyFont="1" applyAlignment="1">
      <alignment horizontal="left" indent="1"/>
    </xf>
    <xf numFmtId="170" fontId="14" fillId="4" borderId="0" xfId="3" applyNumberFormat="1" applyFont="1" applyFill="1" applyBorder="1" applyAlignment="1">
      <alignment vertical="center"/>
    </xf>
    <xf numFmtId="0" fontId="11" fillId="0" borderId="1" xfId="0" quotePrefix="1" applyFont="1" applyBorder="1" applyAlignment="1">
      <alignment horizontal="left" indent="1"/>
    </xf>
    <xf numFmtId="170" fontId="11" fillId="0" borderId="1" xfId="3" applyNumberFormat="1" applyFont="1" applyFill="1" applyBorder="1" applyAlignment="1">
      <alignment vertical="center"/>
    </xf>
    <xf numFmtId="170" fontId="11" fillId="4" borderId="1" xfId="3" applyNumberFormat="1" applyFont="1" applyFill="1" applyBorder="1" applyAlignment="1">
      <alignment vertical="center"/>
    </xf>
    <xf numFmtId="170" fontId="11" fillId="2" borderId="1" xfId="3" applyNumberFormat="1" applyFont="1" applyFill="1" applyBorder="1" applyAlignment="1">
      <alignment vertical="center"/>
    </xf>
    <xf numFmtId="172" fontId="11" fillId="4" borderId="0" xfId="0" applyNumberFormat="1" applyFont="1" applyFill="1"/>
    <xf numFmtId="169" fontId="9" fillId="0" borderId="0" xfId="1" applyNumberFormat="1" applyFont="1" applyFill="1" applyBorder="1" applyAlignment="1">
      <alignment horizontal="center"/>
    </xf>
    <xf numFmtId="0" fontId="11" fillId="0" borderId="0" xfId="0" applyFont="1" applyAlignment="1">
      <alignment horizontal="left"/>
    </xf>
    <xf numFmtId="178" fontId="11" fillId="0" borderId="0" xfId="4" applyNumberFormat="1" applyFont="1" applyFill="1" applyBorder="1"/>
    <xf numFmtId="0" fontId="20" fillId="0" borderId="0" xfId="2" applyFont="1" applyFill="1" applyBorder="1"/>
    <xf numFmtId="178" fontId="9" fillId="0" borderId="0" xfId="0" applyNumberFormat="1" applyFont="1"/>
    <xf numFmtId="164" fontId="11" fillId="0" borderId="0" xfId="0" applyNumberFormat="1" applyFont="1"/>
    <xf numFmtId="0" fontId="19" fillId="0" borderId="0" xfId="0" applyFont="1" applyAlignment="1">
      <alignment horizontal="left"/>
    </xf>
    <xf numFmtId="10" fontId="11" fillId="0" borderId="0" xfId="0" applyNumberFormat="1" applyFont="1"/>
    <xf numFmtId="2" fontId="11" fillId="0" borderId="0" xfId="0" applyNumberFormat="1" applyFont="1"/>
    <xf numFmtId="10" fontId="19" fillId="0" borderId="0" xfId="0" applyNumberFormat="1" applyFont="1"/>
    <xf numFmtId="0" fontId="9" fillId="0" borderId="0" xfId="0" applyFont="1" applyAlignment="1">
      <alignment horizontal="left" indent="2"/>
    </xf>
    <xf numFmtId="169" fontId="17" fillId="0" borderId="0" xfId="1" applyNumberFormat="1" applyFont="1" applyFill="1" applyBorder="1"/>
    <xf numFmtId="0" fontId="11" fillId="0" borderId="1" xfId="0" applyFont="1" applyBorder="1" applyAlignment="1">
      <alignment horizontal="right"/>
    </xf>
    <xf numFmtId="178" fontId="11" fillId="0" borderId="0" xfId="0" applyNumberFormat="1" applyFont="1"/>
    <xf numFmtId="169" fontId="11" fillId="0" borderId="0" xfId="1" applyNumberFormat="1" applyFont="1" applyFill="1" applyBorder="1"/>
    <xf numFmtId="10" fontId="11" fillId="0" borderId="0" xfId="1" applyNumberFormat="1" applyFont="1" applyFill="1" applyBorder="1"/>
    <xf numFmtId="170" fontId="14" fillId="0" borderId="0" xfId="0" applyNumberFormat="1" applyFont="1"/>
    <xf numFmtId="169" fontId="19" fillId="0" borderId="0" xfId="1" applyNumberFormat="1" applyFont="1" applyFill="1" applyBorder="1"/>
    <xf numFmtId="10" fontId="19" fillId="0" borderId="0" xfId="1" applyNumberFormat="1" applyFont="1" applyFill="1" applyBorder="1"/>
    <xf numFmtId="169" fontId="11" fillId="0" borderId="0" xfId="0" applyNumberFormat="1" applyFont="1"/>
    <xf numFmtId="181" fontId="11" fillId="0" borderId="0" xfId="0" applyNumberFormat="1" applyFont="1"/>
    <xf numFmtId="0" fontId="11" fillId="0" borderId="0" xfId="0" applyFont="1" applyAlignment="1">
      <alignment horizontal="left" indent="6"/>
    </xf>
    <xf numFmtId="169" fontId="19" fillId="0" borderId="0" xfId="0" applyNumberFormat="1" applyFont="1"/>
    <xf numFmtId="0" fontId="12" fillId="0" borderId="0" xfId="0" quotePrefix="1" applyFont="1" applyAlignment="1">
      <alignment horizontal="right"/>
    </xf>
    <xf numFmtId="169" fontId="17" fillId="0" borderId="0" xfId="0" applyNumberFormat="1" applyFont="1"/>
  </cellXfs>
  <cellStyles count="5">
    <cellStyle name="Comma" xfId="4" builtinId="3"/>
    <cellStyle name="Comma 2" xfId="3" xr:uid="{A093E987-898C-450C-A42A-3FCAB272C1E7}"/>
    <cellStyle name="Hyperlink" xfId="2" builtinId="8"/>
    <cellStyle name="Normal" xfId="0" builtinId="0"/>
    <cellStyle name="Percent" xfId="1" builtinId="5"/>
  </cellStyles>
  <dxfs count="8">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iren\Downloads\Download%20Aug\Download%20August\Lecture%2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iren\Downloads\Download%20Aug\Download%20August\Lecture%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ation_Multiple"/>
      <sheetName val="Pro forma"/>
    </sheetNames>
    <sheetDataSet>
      <sheetData sheetId="0"/>
      <sheetData sheetId="1">
        <row r="9">
          <cell r="E9">
            <v>42218.400000000001</v>
          </cell>
        </row>
        <row r="10">
          <cell r="E10">
            <v>10553.97</v>
          </cell>
        </row>
        <row r="12">
          <cell r="E12">
            <v>964.55</v>
          </cell>
        </row>
        <row r="13">
          <cell r="D13">
            <v>54433</v>
          </cell>
        </row>
        <row r="15">
          <cell r="D15">
            <v>2668</v>
          </cell>
        </row>
        <row r="18">
          <cell r="D18">
            <v>-288</v>
          </cell>
        </row>
        <row r="25">
          <cell r="D25">
            <v>138.42857142857144</v>
          </cell>
          <cell r="E25">
            <v>523.00612000000035</v>
          </cell>
        </row>
        <row r="39">
          <cell r="D39">
            <v>6227</v>
          </cell>
        </row>
        <row r="40">
          <cell r="D40">
            <v>8626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ation_DM"/>
      <sheetName val="Valuation_Multiple"/>
      <sheetName val="Pro forma"/>
    </sheetNames>
    <sheetDataSet>
      <sheetData sheetId="0" refreshError="1"/>
      <sheetData sheetId="1">
        <row r="6">
          <cell r="E6">
            <v>1.98</v>
          </cell>
          <cell r="F6">
            <v>8126</v>
          </cell>
          <cell r="L6">
            <v>8626</v>
          </cell>
        </row>
        <row r="17">
          <cell r="D17" t="str">
            <v>30-Apr-2016</v>
          </cell>
        </row>
      </sheetData>
      <sheetData sheetId="2">
        <row r="38">
          <cell r="D38">
            <v>14607</v>
          </cell>
        </row>
        <row r="47">
          <cell r="E47">
            <v>523.00612000000035</v>
          </cell>
          <cell r="F47">
            <v>573.86221185227248</v>
          </cell>
          <cell r="G47">
            <v>682.29429575683434</v>
          </cell>
        </row>
        <row r="49">
          <cell r="E49">
            <v>0</v>
          </cell>
          <cell r="F49">
            <v>-57</v>
          </cell>
          <cell r="G49">
            <v>-136</v>
          </cell>
        </row>
        <row r="50">
          <cell r="E50">
            <v>268.68460000000005</v>
          </cell>
          <cell r="F50">
            <v>269.78822450000001</v>
          </cell>
          <cell r="G50">
            <v>273.29348544999999</v>
          </cell>
        </row>
        <row r="51">
          <cell r="E51">
            <v>0</v>
          </cell>
          <cell r="F51">
            <v>0</v>
          </cell>
          <cell r="G51">
            <v>0</v>
          </cell>
        </row>
        <row r="52">
          <cell r="D52">
            <v>8626.4285714285725</v>
          </cell>
        </row>
        <row r="57">
          <cell r="E57">
            <v>927.76112000000035</v>
          </cell>
          <cell r="F57">
            <v>965.16863272499972</v>
          </cell>
          <cell r="G57">
            <v>1038.67193815</v>
          </cell>
        </row>
        <row r="61">
          <cell r="E61">
            <v>268.68460000000005</v>
          </cell>
          <cell r="F61">
            <v>269.78822450000001</v>
          </cell>
          <cell r="G61">
            <v>273.29348544999999</v>
          </cell>
        </row>
        <row r="68">
          <cell r="E68">
            <v>795.2347018181822</v>
          </cell>
          <cell r="F68">
            <v>1286.6962490504316</v>
          </cell>
          <cell r="G68">
            <v>1321.6575753347956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9E4E58-416B-4174-B4E8-BB209FA830B2}" name="Table2" displayName="Table2" ref="A1:G84" totalsRowShown="0" headerRowDxfId="7">
  <autoFilter ref="A1:G84" xr:uid="{559E4E58-416B-4174-B4E8-BB209FA830B2}"/>
  <tableColumns count="7">
    <tableColumn id="1" xr3:uid="{9CD1A6D8-FCC2-4E09-A6B3-E9F6DCFB3C80}" name="Column1"/>
    <tableColumn id="2" xr3:uid="{EA567DAC-52DC-474E-9C23-DBB2DBD062E8}" name="Column2" dataDxfId="1"/>
    <tableColumn id="3" xr3:uid="{13A3A71A-334C-408D-BBB0-25D5644CA7C8}" name="Column3"/>
    <tableColumn id="4" xr3:uid="{03577755-9A9B-4C9B-BC14-29E1A4A87C86}" name="I/S"/>
    <tableColumn id="5" xr3:uid="{093A95DD-93D2-42A4-93B9-FBDE410096D4}" name="B/S"/>
    <tableColumn id="6" xr3:uid="{76862945-CE4F-4B5E-9A4D-F01752B1955A}" name="SSE"/>
    <tableColumn id="7" xr3:uid="{26B7A286-C69E-4FF8-9740-A758E763E2CF}" name="SCF"/>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B27DEC-D8B2-4E15-A48B-3874E03C1910}" name="Table3" displayName="Table3" ref="J1:O181" totalsRowShown="0" headerRowDxfId="6">
  <autoFilter ref="J1:O181" xr:uid="{49B27DEC-D8B2-4E15-A48B-3874E03C1910}"/>
  <tableColumns count="6">
    <tableColumn id="1" xr3:uid="{41B7918E-B654-4D15-9FA0-887A9DCF79A2}" name="Column1" dataDxfId="0"/>
    <tableColumn id="2" xr3:uid="{0C33FD96-4194-4851-8D5A-08766312EACA}" name="Tesco"/>
    <tableColumn id="3" xr3:uid="{4506808D-DDDB-40D3-896C-2AB8DCA5C19E}" name="Column2"/>
    <tableColumn id="4" xr3:uid="{D96881D3-A558-4F83-8D2E-AF6DD37B2A8A}" name="Column3"/>
    <tableColumn id="5" xr3:uid="{73D81290-87C7-405B-8CDB-EF56A7C7A795}" name="Carrefour"/>
    <tableColumn id="6" xr3:uid="{79E3C212-2208-4888-A1BE-D1F0C33F8179}" name="Column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5715A6-117C-4428-9CEB-FE6C352A630D}" name="Table4" displayName="Table4" ref="R1:U215" totalsRowShown="0" headerRowDxfId="4">
  <autoFilter ref="R1:U215" xr:uid="{735715A6-117C-4428-9CEB-FE6C352A630D}"/>
  <tableColumns count="4">
    <tableColumn id="1" xr3:uid="{0B0569C3-1222-46EF-AB8F-BA1EF9ABCDA3}" name="Column1" dataDxfId="5"/>
    <tableColumn id="2" xr3:uid="{E54A4CC3-C47E-49A7-89A0-15AF7FE02D98}" name="Refm. I/S"/>
    <tableColumn id="3" xr3:uid="{9E8F715B-8065-4347-A54F-FB86779E447C}" name="Refm. B/S"/>
    <tableColumn id="4" xr3:uid="{790180FC-0D7A-4082-8103-6CD94FF52AF9}" name="Refm. SCF"/>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473331-BEC2-4300-9C3A-9062A3FD37F9}" name="Table5" displayName="Table5" ref="X1:AC238" totalsRowShown="0" headerRowDxfId="2">
  <autoFilter ref="X1:AC238" xr:uid="{D7473331-BEC2-4300-9C3A-9062A3FD37F9}">
    <filterColumn colId="0" hiddenButton="1"/>
    <filterColumn colId="1" hiddenButton="1"/>
    <filterColumn colId="2" hiddenButton="1"/>
    <filterColumn colId="3" hiddenButton="1"/>
    <filterColumn colId="4" hiddenButton="1"/>
    <filterColumn colId="5" hiddenButton="1"/>
  </autoFilter>
  <tableColumns count="6">
    <tableColumn id="1" xr3:uid="{142A52BB-1228-48FC-BB94-6886FDE94AA0}" name="Column1" dataDxfId="3"/>
    <tableColumn id="2" xr3:uid="{FE162CFE-F84D-47C8-856A-3DD460DBCB4F}" name="Column2"/>
    <tableColumn id="3" xr3:uid="{49756C33-AEA0-4FF3-AB31-C01CD9F9ABC7}" name="Column3"/>
    <tableColumn id="4" xr3:uid="{89158D0D-E7D8-45D7-BC0B-4BAAD07BDD28}" name="Column4"/>
    <tableColumn id="5" xr3:uid="{4E1544E7-14E2-4A57-B23E-605D9BD59B22}" name="Column5"/>
    <tableColumn id="6" xr3:uid="{EB8F43FD-AC9C-4873-B5F8-2D6DE2561D34}" name="Column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125C73-4E88-41B2-8532-9EC8857874EB}" name="Table6" displayName="Table6" ref="A7:N17" totalsRowShown="0">
  <autoFilter ref="A7:N17" xr:uid="{1D125C73-4E88-41B2-8532-9EC8857874EB}"/>
  <tableColumns count="14">
    <tableColumn id="1" xr3:uid="{7D7136B1-35B9-4BD3-A1A1-F17995DAAB28}" name="Company"/>
    <tableColumn id="2" xr3:uid="{3E8AE289-41C4-47FF-A5CE-77885AD82639}" name="Ticker"/>
    <tableColumn id="3" xr3:uid="{1186726C-1EB3-4A2E-9A73-84E16F5DCB33}" name="exchange"/>
    <tableColumn id="4" xr3:uid="{453B1E99-4861-419F-AB3B-889A6C943E45}" name="Currency"/>
    <tableColumn id="5" xr3:uid="{B83E2ED5-6FC6-412A-9F3E-66879BEE88B8}" name="(£/€)"/>
    <tableColumn id="6" xr3:uid="{8A59C55A-3C56-41EC-9713-0FD0D1E69D89}" name="(# mil.)"/>
    <tableColumn id="7" xr3:uid="{6C18CA4A-CC55-4947-BCE0-38383A858E0D}" name="(£/€ mil.)">
      <calculatedColumnFormula>E8*F8</calculatedColumnFormula>
    </tableColumn>
    <tableColumn id="8" xr3:uid="{7DAE17DE-16F9-4F0F-AE05-70A411A2B6B9}" name="(£/€ mil.)2"/>
    <tableColumn id="9" xr3:uid="{A9E60D51-16CE-446F-BAAA-D560E9321D16}" name="(£/€ mil.)3"/>
    <tableColumn id="10" xr3:uid="{701EF076-11FB-41F1-988C-07B8AA5619FA}" name="(£/€ mil.)4"/>
    <tableColumn id="11" xr3:uid="{4D9B8163-44C4-4252-941D-23D812F6BF62}" name="(£/€ mil.)5"/>
    <tableColumn id="12" xr3:uid="{A0C8140F-A7A7-4001-BA48-611BAC828E4F}" name="(£/€ mil.)6"/>
    <tableColumn id="13" xr3:uid="{33BB0FA6-BFB1-462E-A6A3-4DACD220D02C}" name="2015/16A"/>
    <tableColumn id="14" xr3:uid="{1D4E6128-7B02-4F0D-AE4E-026318454C2E}" name="2016/17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C9B8D7A-0756-42C4-9E5E-76B6A3D81558}" name="Table7" displayName="Table7" ref="C23:J33" totalsRowShown="0">
  <autoFilter ref="C23:J33" xr:uid="{BC9B8D7A-0756-42C4-9E5E-76B6A3D81558}"/>
  <tableColumns count="8">
    <tableColumn id="1" xr3:uid="{7A772C3F-3B2E-4205-A8B7-9C120E4ACA48}" name="Column1">
      <calculatedColumnFormula>A8</calculatedColumnFormula>
    </tableColumn>
    <tableColumn id="2" xr3:uid="{78691E33-3626-4972-889F-25828E082374}" name="Column2"/>
    <tableColumn id="3" xr3:uid="{0B33C000-75A9-4E93-B778-676B0D21264E}" name="NOA0">
      <calculatedColumnFormula>L8+I8</calculatedColumnFormula>
    </tableColumn>
    <tableColumn id="4" xr3:uid="{3D27C7E8-1B9D-4168-B3A9-83817CF9F27D}" name="S0">
      <calculatedColumnFormula>J8</calculatedColumnFormula>
    </tableColumn>
    <tableColumn id="5" xr3:uid="{4B81A1AD-CFC7-4602-A288-39E12B70A582}" name="EBITDA0">
      <calculatedColumnFormula>K8</calculatedColumnFormula>
    </tableColumn>
    <tableColumn id="6" xr3:uid="{5786491B-76E9-400A-BCE2-ED6E875FDC68}" name="B0">
      <calculatedColumnFormula>L8/F8</calculatedColumnFormula>
    </tableColumn>
    <tableColumn id="7" xr3:uid="{09EB23BA-277A-4E45-9E25-9950E94940AC}" name="E0">
      <calculatedColumnFormula>M8</calculatedColumnFormula>
    </tableColumn>
    <tableColumn id="8" xr3:uid="{5BE0E481-BEF7-4146-832A-24D062718558}" name="E1">
      <calculatedColumnFormula>N8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35D759B-1806-4B0C-AB0E-89462DDC7699}" name="Table8" displayName="Table8" ref="C35:J45" totalsRowShown="0">
  <autoFilter ref="C35:J45" xr:uid="{735D759B-1806-4B0C-AB0E-89462DDC7699}"/>
  <tableColumns count="8">
    <tableColumn id="1" xr3:uid="{EEC45258-ECB5-4026-B040-3DEA299B2B01}" name="Multiples of comparables">
      <calculatedColumnFormula>A8</calculatedColumnFormula>
    </tableColumn>
    <tableColumn id="2" xr3:uid="{C10ACD59-8A98-4FE1-8F5B-5A7C72874580}" name="Column1">
      <calculatedColumnFormula>G8+I8</calculatedColumnFormula>
    </tableColumn>
    <tableColumn id="3" xr3:uid="{C4A8AC56-B4E8-458B-BC2C-79A43FA059E6}" name="Column2">
      <calculatedColumnFormula>IF(E24&gt;0,$D36/E24,"n/a")</calculatedColumnFormula>
    </tableColumn>
    <tableColumn id="4" xr3:uid="{B2CFEB0E-C58C-4073-86B6-9AD7475F9FCB}" name="Enterprise">
      <calculatedColumnFormula>IF(F24&gt;0,$D36/F24,"n/a")</calculatedColumnFormula>
    </tableColumn>
    <tableColumn id="5" xr3:uid="{B4A2E27B-5E28-47A9-B230-1DC99E4EF2D6}" name="Column3">
      <calculatedColumnFormula>IF(G24&gt;0,$D36/G24,"n/a")</calculatedColumnFormula>
    </tableColumn>
    <tableColumn id="6" xr3:uid="{9C915928-87B5-4722-BB34-2C91EC852E29}" name="Column4">
      <calculatedColumnFormula>IF(H24&gt;0,$E8/H24,"n/a")</calculatedColumnFormula>
    </tableColumn>
    <tableColumn id="7" xr3:uid="{C10C75B7-6092-4881-B42F-963FEE184163}" name="Equity">
      <calculatedColumnFormula>IF(I24&gt;0,$E8/I24,"n/a")</calculatedColumnFormula>
    </tableColumn>
    <tableColumn id="8" xr3:uid="{7181D920-DE6C-4983-AF8E-E3FA1C5F7427}" name="Column5">
      <calculatedColumnFormula>IF(J24&gt;0,$E8/J24,"n/a")</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F75079-5891-4A0B-B080-8F2F42847A09}" name="Table9" displayName="Table9" ref="B49:J70" totalsRowShown="0">
  <autoFilter ref="B49:J70" xr:uid="{03F75079-5891-4A0B-B080-8F2F42847A09}"/>
  <tableColumns count="9">
    <tableColumn id="1" xr3:uid="{FBA326D6-1AFE-4C9B-B5E9-9C96A08960CB}" name="Column1"/>
    <tableColumn id="2" xr3:uid="{3ED22168-4B07-47CF-A38B-EDEB1295A915}" name="Column2"/>
    <tableColumn id="3" xr3:uid="{F437C952-CAC4-4854-86EE-4FFFE0EF9AE1}" name="Column3"/>
    <tableColumn id="4" xr3:uid="{A772D9C0-89E6-4581-B05A-D0A975C0C5B7}" name="NOA0"/>
    <tableColumn id="5" xr3:uid="{865B2E6B-5EF2-4850-8950-8C23A41180A8}" name="S0"/>
    <tableColumn id="6" xr3:uid="{5379E6E9-DCDC-4A58-B74C-F00647C35494}" name="EBITDA0"/>
    <tableColumn id="7" xr3:uid="{0B74193E-FCE2-4C79-9529-F36C6DDFA4C3}" name="B0"/>
    <tableColumn id="8" xr3:uid="{F1ED29B7-2375-4432-B4DB-604D81F825CF}" name="E0"/>
    <tableColumn id="9" xr3:uid="{742CDEE0-BCA2-47E4-B144-7D2B57F7B663}" name="E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9927931-37E2-4DAA-9C53-F88CECBFB938}" name="Table10" displayName="Table10" ref="B75:H85" totalsRowShown="0">
  <autoFilter ref="B75:H85" xr:uid="{39927931-37E2-4DAA-9C53-F88CECBFB938}"/>
  <tableColumns count="7">
    <tableColumn id="1" xr3:uid="{3707F868-A1E8-49A0-BB50-F6D68FE56F4E}" name="Column1"/>
    <tableColumn id="2" xr3:uid="{F57826E2-DC98-4B2C-BA51-C24072B953CF}" name="Column2"/>
    <tableColumn id="3" xr3:uid="{ABB7BE59-3952-499A-AD57-96527F5F1E39}" name="Column3"/>
    <tableColumn id="4" xr3:uid="{13D902C5-F860-4331-B7EA-CCF880AA958F}" name="Sales"/>
    <tableColumn id="5" xr3:uid="{8356F03E-16A4-4CE1-8260-C3D050E4555F}" name="Benchmark"/>
    <tableColumn id="6" xr3:uid="{083C2634-CD23-4750-96A2-3F96E62F676C}" name="Estimate"/>
    <tableColumn id="7" xr3:uid="{B5C6FE47-1E70-46A9-BBB3-D7DD6F8E0335}" name="Column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5" Type="http://schemas.openxmlformats.org/officeDocument/2006/relationships/table" Target="../tables/table9.xml"/><Relationship Id="rId4"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0E45-472C-41BE-AE83-5D03C38D0CC3}">
  <dimension ref="A1:AC238"/>
  <sheetViews>
    <sheetView zoomScale="145" zoomScaleNormal="145" workbookViewId="0">
      <selection activeCell="J1" sqref="J1:J1048576"/>
    </sheetView>
  </sheetViews>
  <sheetFormatPr defaultRowHeight="14.4" x14ac:dyDescent="0.3"/>
  <cols>
    <col min="1" max="1" width="10.44140625" customWidth="1"/>
    <col min="2" max="2" width="57.44140625" style="5" bestFit="1" customWidth="1"/>
    <col min="3" max="3" width="25.44140625" bestFit="1" customWidth="1"/>
    <col min="4" max="7" width="12.6640625" bestFit="1" customWidth="1"/>
    <col min="10" max="10" width="47.6640625" style="5" bestFit="1" customWidth="1"/>
    <col min="11" max="11" width="13.33203125" customWidth="1"/>
    <col min="12" max="13" width="16.88671875" customWidth="1"/>
    <col min="14" max="14" width="20.44140625" customWidth="1"/>
    <col min="15" max="15" width="16.88671875" customWidth="1"/>
    <col min="16" max="16" width="6.33203125" bestFit="1" customWidth="1"/>
    <col min="18" max="18" width="53.109375" style="5" bestFit="1" customWidth="1"/>
    <col min="19" max="19" width="13.33203125" customWidth="1"/>
    <col min="20" max="20" width="14.33203125" customWidth="1"/>
    <col min="21" max="21" width="15" customWidth="1"/>
    <col min="24" max="24" width="69.21875" style="5" bestFit="1" customWidth="1"/>
    <col min="25" max="26" width="16.88671875" customWidth="1"/>
    <col min="27" max="27" width="21.6640625" bestFit="1" customWidth="1"/>
    <col min="28" max="29" width="16.88671875" customWidth="1"/>
  </cols>
  <sheetData>
    <row r="1" spans="1:29" s="5" customFormat="1" x14ac:dyDescent="0.3">
      <c r="A1" t="s">
        <v>604</v>
      </c>
      <c r="B1" s="5" t="s">
        <v>605</v>
      </c>
      <c r="C1" s="5" t="s">
        <v>606</v>
      </c>
      <c r="D1" s="5" t="s">
        <v>597</v>
      </c>
      <c r="E1" s="5" t="s">
        <v>598</v>
      </c>
      <c r="F1" s="5" t="s">
        <v>599</v>
      </c>
      <c r="G1" s="5" t="s">
        <v>600</v>
      </c>
      <c r="J1" s="5" t="s">
        <v>604</v>
      </c>
      <c r="K1" s="5" t="s">
        <v>294</v>
      </c>
      <c r="L1" s="5" t="s">
        <v>605</v>
      </c>
      <c r="M1" s="5" t="s">
        <v>606</v>
      </c>
      <c r="N1" s="5" t="s">
        <v>295</v>
      </c>
      <c r="O1" s="5" t="s">
        <v>607</v>
      </c>
      <c r="P1" s="5" t="str">
        <f>HYPERLINK("#n10","ratios")</f>
        <v>ratios</v>
      </c>
      <c r="R1" s="5" t="s">
        <v>604</v>
      </c>
      <c r="S1" s="5" t="s">
        <v>601</v>
      </c>
      <c r="T1" s="5" t="s">
        <v>602</v>
      </c>
      <c r="U1" s="5" t="s">
        <v>603</v>
      </c>
      <c r="X1" s="5" t="s">
        <v>604</v>
      </c>
      <c r="Y1" s="5" t="s">
        <v>605</v>
      </c>
      <c r="Z1" s="5" t="s">
        <v>606</v>
      </c>
      <c r="AA1" s="5" t="s">
        <v>607</v>
      </c>
      <c r="AB1" s="5" t="s">
        <v>608</v>
      </c>
      <c r="AC1" s="5" t="s">
        <v>609</v>
      </c>
    </row>
    <row r="2" spans="1:29" x14ac:dyDescent="0.3">
      <c r="B2" s="5" t="s">
        <v>540</v>
      </c>
      <c r="C2" t="s">
        <v>487</v>
      </c>
      <c r="D2" s="5" t="s">
        <v>379</v>
      </c>
      <c r="E2" s="5" t="s">
        <v>380</v>
      </c>
      <c r="F2" s="5" t="s">
        <v>485</v>
      </c>
      <c r="G2" s="5" t="s">
        <v>486</v>
      </c>
      <c r="J2" s="5" t="s">
        <v>315</v>
      </c>
      <c r="K2">
        <v>2016</v>
      </c>
      <c r="L2" t="s">
        <v>280</v>
      </c>
      <c r="N2">
        <v>2015</v>
      </c>
      <c r="O2">
        <v>2014</v>
      </c>
      <c r="P2" t="str">
        <f>HYPERLINK("#n118","C-S I/S")</f>
        <v>C-S I/S</v>
      </c>
      <c r="R2" s="5" t="s">
        <v>258</v>
      </c>
      <c r="S2" s="5">
        <f>AA2</f>
        <v>2016</v>
      </c>
      <c r="T2" s="5">
        <f>AB2</f>
        <v>2015</v>
      </c>
      <c r="U2" s="5">
        <v>2014</v>
      </c>
      <c r="X2" s="5" t="s">
        <v>260</v>
      </c>
      <c r="Y2" s="5" t="s">
        <v>259</v>
      </c>
      <c r="Z2" s="5"/>
      <c r="AA2" s="5">
        <v>2016</v>
      </c>
      <c r="AB2" s="5">
        <v>2015</v>
      </c>
      <c r="AC2" s="5">
        <v>2014</v>
      </c>
    </row>
    <row r="3" spans="1:29" x14ac:dyDescent="0.3">
      <c r="B3" s="5" t="s">
        <v>325</v>
      </c>
      <c r="D3" s="5" t="str">
        <f>D2</f>
        <v>2015/16A</v>
      </c>
      <c r="E3" s="5" t="str">
        <f>E2</f>
        <v>2016/17E</v>
      </c>
      <c r="F3" s="5" t="str">
        <f t="shared" ref="F3:G3" si="0">F2</f>
        <v>2017/18E</v>
      </c>
      <c r="G3" s="5" t="str">
        <f t="shared" si="0"/>
        <v>2018/19E</v>
      </c>
      <c r="J3" s="5" t="s">
        <v>18</v>
      </c>
      <c r="R3" s="5" t="s">
        <v>257</v>
      </c>
      <c r="S3" s="5"/>
      <c r="T3" s="5"/>
      <c r="U3" s="5"/>
      <c r="X3" s="5" t="s">
        <v>261</v>
      </c>
      <c r="Y3" s="5"/>
      <c r="Z3" s="5"/>
      <c r="AA3" s="5"/>
      <c r="AB3" s="5"/>
      <c r="AC3" s="5"/>
    </row>
    <row r="4" spans="1:29" x14ac:dyDescent="0.3">
      <c r="A4" s="5" t="s">
        <v>339</v>
      </c>
      <c r="B4" s="5" t="s">
        <v>512</v>
      </c>
      <c r="C4" t="s">
        <v>488</v>
      </c>
      <c r="J4" s="5" t="s">
        <v>574</v>
      </c>
      <c r="S4" s="5">
        <f>S2</f>
        <v>2016</v>
      </c>
      <c r="T4" s="5">
        <f>T2</f>
        <v>2015</v>
      </c>
      <c r="U4" s="5">
        <f>U2</f>
        <v>2014</v>
      </c>
      <c r="Y4" s="5"/>
      <c r="Z4" s="5"/>
      <c r="AA4" s="5">
        <f>AA2</f>
        <v>2016</v>
      </c>
      <c r="AB4" s="5">
        <f>AB2</f>
        <v>2015</v>
      </c>
      <c r="AC4" s="5">
        <f>AC2</f>
        <v>2014</v>
      </c>
    </row>
    <row r="5" spans="1:29" x14ac:dyDescent="0.3">
      <c r="B5" s="5" t="s">
        <v>346</v>
      </c>
      <c r="D5">
        <f>K130</f>
        <v>-4.0078114597665415E-2</v>
      </c>
      <c r="E5">
        <v>-0.02</v>
      </c>
      <c r="F5">
        <v>0</v>
      </c>
      <c r="G5">
        <v>0.01</v>
      </c>
      <c r="J5" s="5" t="s">
        <v>17</v>
      </c>
      <c r="K5">
        <f>S125/AVERAGE(S40:T40)</f>
        <v>2.8667898324520609E-2</v>
      </c>
      <c r="L5">
        <f>T125/AVERAGE(T40:U40)</f>
        <v>-0.517763701459653</v>
      </c>
      <c r="N5">
        <v>0.10380916963289592</v>
      </c>
      <c r="O5">
        <v>0.13812445223488168</v>
      </c>
      <c r="R5" s="5" t="str">
        <f>X5</f>
        <v>28 February</v>
      </c>
      <c r="S5" s="5" t="str">
        <f>AA5</f>
        <v>£ m</v>
      </c>
      <c r="T5" s="5" t="str">
        <f>AB5</f>
        <v>£ m</v>
      </c>
      <c r="U5" s="5" t="str">
        <f>AC5</f>
        <v>£ m</v>
      </c>
      <c r="X5" s="5" t="s">
        <v>256</v>
      </c>
      <c r="Y5" s="5"/>
      <c r="Z5" s="5" t="s">
        <v>177</v>
      </c>
      <c r="AA5" s="5" t="s">
        <v>153</v>
      </c>
      <c r="AB5" s="5" t="s">
        <v>153</v>
      </c>
      <c r="AC5" s="5" t="s">
        <v>153</v>
      </c>
    </row>
    <row r="6" spans="1:29" x14ac:dyDescent="0.3">
      <c r="B6" s="5" t="s">
        <v>347</v>
      </c>
      <c r="D6">
        <f>K131</f>
        <v>1.3741297178453626E-2</v>
      </c>
      <c r="E6">
        <v>1.4999999999999999E-2</v>
      </c>
      <c r="F6">
        <v>0.02</v>
      </c>
      <c r="G6">
        <v>2.5000000000000001E-2</v>
      </c>
      <c r="J6" s="5" t="s">
        <v>16</v>
      </c>
      <c r="K6">
        <f>S122/AVERAGE(S28:T28)</f>
        <v>6.0885252238902135E-2</v>
      </c>
      <c r="L6">
        <f>T122/AVERAGE(T28:U28)</f>
        <v>-0.2726476907976762</v>
      </c>
      <c r="N6">
        <v>9.3935483870967743E-2</v>
      </c>
      <c r="O6">
        <v>0.11495921471035532</v>
      </c>
      <c r="R6" s="5" t="s">
        <v>254</v>
      </c>
      <c r="X6" s="5" t="s">
        <v>255</v>
      </c>
    </row>
    <row r="7" spans="1:29" x14ac:dyDescent="0.3">
      <c r="B7" s="5" t="s">
        <v>324</v>
      </c>
      <c r="D7">
        <f>K133</f>
        <v>8.4477296726503948E-3</v>
      </c>
      <c r="E7">
        <v>0.01</v>
      </c>
      <c r="F7">
        <v>0.01</v>
      </c>
      <c r="G7">
        <v>0.01</v>
      </c>
      <c r="J7" s="5" t="s">
        <v>575</v>
      </c>
      <c r="K7">
        <f>AVERAGE(S39:T39)/AVERAGE(S40:T40)</f>
        <v>1.0017837803401923</v>
      </c>
      <c r="L7">
        <f>AVERAGE(T39:U39)/AVERAGE(T40:U40)</f>
        <v>0.79555677958321858</v>
      </c>
      <c r="N7">
        <v>0.5408808372735483</v>
      </c>
      <c r="O7">
        <v>0.60479111890154835</v>
      </c>
      <c r="R7" s="5" t="str">
        <f>X24</f>
        <v>Cash (operating)</v>
      </c>
      <c r="S7">
        <f>AA24</f>
        <v>2334</v>
      </c>
      <c r="T7">
        <f>AB24</f>
        <v>2134</v>
      </c>
      <c r="U7">
        <f>AC24</f>
        <v>2261</v>
      </c>
      <c r="X7" s="5" t="s">
        <v>253</v>
      </c>
      <c r="Y7" t="s">
        <v>201</v>
      </c>
      <c r="Z7">
        <v>10</v>
      </c>
      <c r="AA7">
        <v>2874</v>
      </c>
      <c r="AB7">
        <v>3771</v>
      </c>
      <c r="AC7">
        <v>3795</v>
      </c>
    </row>
    <row r="8" spans="1:29" x14ac:dyDescent="0.3">
      <c r="B8" s="5" t="s">
        <v>150</v>
      </c>
      <c r="C8" t="s">
        <v>576</v>
      </c>
      <c r="J8" s="5" t="s">
        <v>577</v>
      </c>
      <c r="K8">
        <f>-S123/AVERAGE(S39:T39)</f>
        <v>9.2718600953895072E-2</v>
      </c>
      <c r="L8">
        <f>-T123/AVERAGE(T39:U39)</f>
        <v>6.0696976690514652E-2</v>
      </c>
      <c r="N8">
        <v>6.6005303997642664E-2</v>
      </c>
      <c r="O8">
        <v>7.0138150903294366E-2</v>
      </c>
      <c r="R8" s="5" t="s">
        <v>251</v>
      </c>
      <c r="S8">
        <f>AA18</f>
        <v>1607</v>
      </c>
      <c r="T8">
        <f>AB18</f>
        <v>2121</v>
      </c>
      <c r="U8">
        <f>AC18</f>
        <v>2190</v>
      </c>
      <c r="X8" s="5" t="s">
        <v>252</v>
      </c>
      <c r="Y8" t="s">
        <v>201</v>
      </c>
      <c r="Z8">
        <v>11</v>
      </c>
      <c r="AA8">
        <v>17900</v>
      </c>
      <c r="AB8">
        <v>20440</v>
      </c>
      <c r="AC8">
        <v>24490</v>
      </c>
    </row>
    <row r="9" spans="1:29" x14ac:dyDescent="0.3">
      <c r="B9" s="5" t="s">
        <v>346</v>
      </c>
      <c r="D9">
        <f>AA126</f>
        <v>43080</v>
      </c>
      <c r="E9">
        <f t="shared" ref="E9:G10" si="1">D9*(1+E5)</f>
        <v>42218.400000000001</v>
      </c>
      <c r="F9">
        <f t="shared" si="1"/>
        <v>42218.400000000001</v>
      </c>
      <c r="G9">
        <f t="shared" si="1"/>
        <v>42640.584000000003</v>
      </c>
      <c r="J9" s="5" t="s">
        <v>578</v>
      </c>
      <c r="K9">
        <f>K6-K8</f>
        <v>-3.1833348714992937E-2</v>
      </c>
      <c r="L9">
        <f>L6-L8</f>
        <v>-0.33334466748819086</v>
      </c>
      <c r="N9">
        <v>2.7930179873325078E-2</v>
      </c>
      <c r="O9">
        <v>4.4821063807060954E-2</v>
      </c>
      <c r="R9" s="5" t="s">
        <v>245</v>
      </c>
      <c r="S9">
        <f>AA17</f>
        <v>2430</v>
      </c>
      <c r="T9">
        <f>AB17</f>
        <v>2957</v>
      </c>
      <c r="U9">
        <f>AC17</f>
        <v>3576</v>
      </c>
      <c r="X9" s="5" t="s">
        <v>248</v>
      </c>
      <c r="Y9" t="s">
        <v>201</v>
      </c>
      <c r="Z9">
        <v>12</v>
      </c>
      <c r="AA9">
        <v>78</v>
      </c>
      <c r="AB9">
        <v>164</v>
      </c>
      <c r="AC9">
        <v>227</v>
      </c>
    </row>
    <row r="10" spans="1:29" x14ac:dyDescent="0.3">
      <c r="B10" s="5" t="s">
        <v>347</v>
      </c>
      <c r="D10">
        <f>AA127</f>
        <v>10398</v>
      </c>
      <c r="E10">
        <f t="shared" si="1"/>
        <v>10553.97</v>
      </c>
      <c r="F10">
        <f t="shared" si="1"/>
        <v>10765.0494</v>
      </c>
      <c r="G10">
        <f t="shared" si="1"/>
        <v>11034.175635</v>
      </c>
      <c r="J10" s="5" t="s">
        <v>13</v>
      </c>
      <c r="K10">
        <f>K6+K7*K9</f>
        <v>2.8995119822308908E-2</v>
      </c>
      <c r="L10">
        <f>L6+L7*L9</f>
        <v>-0.5378423009558202</v>
      </c>
      <c r="N10">
        <f>N6+N7*N9</f>
        <v>0.10904238294605262</v>
      </c>
      <c r="O10">
        <f>O6+O7*O9</f>
        <v>0.14206659604058541</v>
      </c>
      <c r="R10" s="5" t="str">
        <f>X21</f>
        <v>Current tax assets</v>
      </c>
      <c r="S10">
        <f>AA21</f>
        <v>15</v>
      </c>
      <c r="T10">
        <f>AB21</f>
        <v>16</v>
      </c>
      <c r="U10">
        <f>AC21</f>
        <v>12</v>
      </c>
      <c r="X10" s="5" t="s">
        <v>250</v>
      </c>
      <c r="Y10" t="s">
        <v>201</v>
      </c>
      <c r="Z10">
        <v>13</v>
      </c>
      <c r="AA10">
        <v>785</v>
      </c>
      <c r="AB10">
        <v>940</v>
      </c>
      <c r="AC10">
        <v>286</v>
      </c>
    </row>
    <row r="11" spans="1:29" x14ac:dyDescent="0.3">
      <c r="D11">
        <f>AA128</f>
        <v>53478</v>
      </c>
      <c r="E11">
        <f>SUM(E9:E10)</f>
        <v>52772.37</v>
      </c>
      <c r="F11">
        <f t="shared" ref="F11:G11" si="2">SUM(F9:F10)</f>
        <v>52983.449399999998</v>
      </c>
      <c r="G11">
        <f t="shared" si="2"/>
        <v>53674.759635000002</v>
      </c>
      <c r="J11" s="5" t="s">
        <v>579</v>
      </c>
      <c r="R11" s="5" t="str">
        <f>X19&amp;", current"</f>
        <v>Loans and advances to customers, current</v>
      </c>
      <c r="S11">
        <f>AA19</f>
        <v>3819</v>
      </c>
      <c r="T11">
        <f>AB19</f>
        <v>3814</v>
      </c>
      <c r="U11">
        <f>AC19</f>
        <v>3705</v>
      </c>
      <c r="X11" s="5" t="s">
        <v>249</v>
      </c>
      <c r="Y11" t="s">
        <v>197</v>
      </c>
      <c r="Z11">
        <v>14</v>
      </c>
      <c r="AA11">
        <v>1135</v>
      </c>
      <c r="AB11">
        <v>975</v>
      </c>
      <c r="AC11">
        <v>1015</v>
      </c>
    </row>
    <row r="12" spans="1:29" x14ac:dyDescent="0.3">
      <c r="B12" s="5" t="s">
        <v>324</v>
      </c>
      <c r="D12">
        <f>AA129</f>
        <v>955</v>
      </c>
      <c r="E12">
        <f>D12*(1+E7)</f>
        <v>964.55</v>
      </c>
      <c r="F12">
        <f>E12*(1+F7)</f>
        <v>974.19549999999992</v>
      </c>
      <c r="G12">
        <f>F12*(1+G7)</f>
        <v>983.93745499999989</v>
      </c>
      <c r="J12" s="5" t="s">
        <v>15</v>
      </c>
      <c r="K12">
        <f>S122/S83</f>
        <v>1.7360792166516634E-2</v>
      </c>
      <c r="L12">
        <f>T122/T83</f>
        <v>-9.0276679841897231E-2</v>
      </c>
      <c r="N12">
        <v>1.8463801564857909E-2</v>
      </c>
      <c r="O12">
        <v>2.1790403312455776E-2</v>
      </c>
      <c r="R12" s="5" t="str">
        <f>X8</f>
        <v>Property, plant and equipment</v>
      </c>
      <c r="S12">
        <f>AA8</f>
        <v>17900</v>
      </c>
      <c r="T12">
        <f>AB8</f>
        <v>20440</v>
      </c>
      <c r="U12">
        <f>AC8</f>
        <v>24490</v>
      </c>
      <c r="X12" s="5" t="s">
        <v>240</v>
      </c>
      <c r="Y12" t="s">
        <v>197</v>
      </c>
      <c r="Z12">
        <v>17</v>
      </c>
      <c r="AA12">
        <v>1532</v>
      </c>
      <c r="AB12">
        <v>1546</v>
      </c>
      <c r="AC12">
        <v>1496</v>
      </c>
    </row>
    <row r="13" spans="1:29" x14ac:dyDescent="0.3">
      <c r="B13" s="5" t="s">
        <v>513</v>
      </c>
      <c r="C13" t="s">
        <v>489</v>
      </c>
      <c r="D13">
        <f>SUM(D11:D12)</f>
        <v>54433</v>
      </c>
      <c r="E13">
        <f t="shared" ref="E13:G13" si="3">SUM(E11:E12)</f>
        <v>53736.920000000006</v>
      </c>
      <c r="F13">
        <f t="shared" si="3"/>
        <v>53957.644899999999</v>
      </c>
      <c r="G13">
        <f t="shared" si="3"/>
        <v>54658.697090000001</v>
      </c>
      <c r="J13" s="5" t="s">
        <v>14</v>
      </c>
      <c r="K13">
        <f>S83/AVERAGE(S28:T28)</f>
        <v>3.5070549577991108</v>
      </c>
      <c r="L13">
        <f>T83/AVERAGE(T28:U28)</f>
        <v>3.0201342281879193</v>
      </c>
      <c r="N13">
        <v>5.0875483870967741</v>
      </c>
      <c r="O13">
        <v>5.2756809069542374</v>
      </c>
      <c r="R13" s="5" t="str">
        <f>X7</f>
        <v>Goodwill &amp; other intangible assets</v>
      </c>
      <c r="S13">
        <f>AA7</f>
        <v>2874</v>
      </c>
      <c r="T13">
        <f>AB7</f>
        <v>3771</v>
      </c>
      <c r="U13">
        <f>AC7</f>
        <v>3795</v>
      </c>
      <c r="X13" s="5" t="s">
        <v>242</v>
      </c>
      <c r="Y13" t="s">
        <v>201</v>
      </c>
      <c r="Z13">
        <v>21</v>
      </c>
      <c r="AA13">
        <v>4723</v>
      </c>
      <c r="AB13">
        <v>3906</v>
      </c>
      <c r="AC13">
        <v>3210</v>
      </c>
    </row>
    <row r="14" spans="1:29" x14ac:dyDescent="0.3">
      <c r="B14" s="5" t="s">
        <v>514</v>
      </c>
      <c r="C14" t="s">
        <v>490</v>
      </c>
      <c r="D14">
        <f>K96</f>
        <v>4.9014384656366546E-2</v>
      </c>
      <c r="E14">
        <v>0.05</v>
      </c>
      <c r="F14">
        <v>5.1999999999999998E-2</v>
      </c>
      <c r="G14">
        <v>5.5E-2</v>
      </c>
      <c r="J14" s="5" t="s">
        <v>13</v>
      </c>
      <c r="K14">
        <f>K12*K13</f>
        <v>6.0885252238902128E-2</v>
      </c>
      <c r="L14">
        <f>L12*L13</f>
        <v>-0.2726476907976762</v>
      </c>
      <c r="R14" s="5" t="s">
        <v>248</v>
      </c>
      <c r="S14">
        <f t="shared" ref="S14:U15" si="4">AA9</f>
        <v>78</v>
      </c>
      <c r="T14">
        <f t="shared" si="4"/>
        <v>164</v>
      </c>
      <c r="U14">
        <f t="shared" si="4"/>
        <v>227</v>
      </c>
      <c r="X14" s="5" t="s">
        <v>246</v>
      </c>
      <c r="Y14" t="s">
        <v>201</v>
      </c>
      <c r="Z14">
        <v>6</v>
      </c>
      <c r="AA14">
        <v>49</v>
      </c>
      <c r="AB14">
        <v>514</v>
      </c>
      <c r="AC14">
        <v>73</v>
      </c>
    </row>
    <row r="15" spans="1:29" x14ac:dyDescent="0.3">
      <c r="B15" s="5" t="s">
        <v>515</v>
      </c>
      <c r="C15" t="s">
        <v>491</v>
      </c>
      <c r="D15">
        <f>S136</f>
        <v>2668</v>
      </c>
      <c r="E15">
        <f>E14*E13</f>
        <v>2686.8460000000005</v>
      </c>
      <c r="F15">
        <f>F14*F13</f>
        <v>2805.7975348</v>
      </c>
      <c r="G15">
        <f>G14*G13</f>
        <v>3006.2283399500002</v>
      </c>
      <c r="J15" s="5" t="s">
        <v>22</v>
      </c>
      <c r="R15" s="5" t="s">
        <v>247</v>
      </c>
      <c r="S15">
        <f t="shared" si="4"/>
        <v>785</v>
      </c>
      <c r="T15">
        <f t="shared" si="4"/>
        <v>940</v>
      </c>
      <c r="U15">
        <f t="shared" si="4"/>
        <v>286</v>
      </c>
      <c r="AA15">
        <f>SUM(AA7:AA14)</f>
        <v>29076</v>
      </c>
      <c r="AB15">
        <f>SUM(AB7:AB14)</f>
        <v>32256</v>
      </c>
      <c r="AC15">
        <f>SUM(AC7:AC14)</f>
        <v>34592</v>
      </c>
    </row>
    <row r="16" spans="1:29" x14ac:dyDescent="0.3">
      <c r="B16" s="5" t="s">
        <v>516</v>
      </c>
      <c r="C16" t="s">
        <v>492</v>
      </c>
      <c r="D16">
        <v>7.0374684527276257E-2</v>
      </c>
      <c r="E16">
        <v>7.0000000000000007E-2</v>
      </c>
      <c r="F16">
        <v>7.0000000000000007E-2</v>
      </c>
      <c r="G16">
        <v>7.0000000000000007E-2</v>
      </c>
      <c r="J16" s="5" t="s">
        <v>580</v>
      </c>
      <c r="R16" s="5" t="s">
        <v>246</v>
      </c>
      <c r="S16">
        <f>AA14</f>
        <v>49</v>
      </c>
      <c r="T16">
        <f>AB14</f>
        <v>514</v>
      </c>
      <c r="U16">
        <f>AC14</f>
        <v>73</v>
      </c>
      <c r="X16" s="5" t="s">
        <v>29</v>
      </c>
    </row>
    <row r="17" spans="1:29" x14ac:dyDescent="0.3">
      <c r="B17" s="5" t="s">
        <v>517</v>
      </c>
      <c r="C17" t="s">
        <v>581</v>
      </c>
      <c r="D17">
        <f>S133</f>
        <v>-1450</v>
      </c>
      <c r="E17">
        <f>-E16*D37</f>
        <v>-1258.46</v>
      </c>
      <c r="F17">
        <f>-F16*E37</f>
        <v>-1249.1178000000002</v>
      </c>
      <c r="G17">
        <f>-G16*F37</f>
        <v>-1249.1178000000002</v>
      </c>
      <c r="J17" s="5" t="s">
        <v>582</v>
      </c>
      <c r="K17">
        <f>AA96/AVERAGE(AA55:AB55)</f>
        <v>1.6446739338305604E-2</v>
      </c>
      <c r="L17">
        <f>AB96/AVERAGE(AB55:AC55)</f>
        <v>-0.52916073968705546</v>
      </c>
      <c r="N17">
        <v>4.9502986489167088E-2</v>
      </c>
      <c r="O17">
        <v>6.1526690071113513E-2</v>
      </c>
      <c r="R17" s="5" t="str">
        <f>X13&amp;", n/c"</f>
        <v>Loans and advances to customers, n/c</v>
      </c>
      <c r="S17">
        <f>AA13</f>
        <v>4723</v>
      </c>
      <c r="T17">
        <f>AB13</f>
        <v>3906</v>
      </c>
      <c r="U17">
        <f>AC13</f>
        <v>3210</v>
      </c>
      <c r="X17" s="5" t="s">
        <v>245</v>
      </c>
      <c r="Y17" t="s">
        <v>201</v>
      </c>
      <c r="Z17">
        <v>15</v>
      </c>
      <c r="AA17">
        <v>2430</v>
      </c>
      <c r="AB17">
        <v>2957</v>
      </c>
      <c r="AC17">
        <v>3576</v>
      </c>
    </row>
    <row r="18" spans="1:29" x14ac:dyDescent="0.3">
      <c r="B18" s="5" t="s">
        <v>518</v>
      </c>
      <c r="C18" t="s">
        <v>493</v>
      </c>
      <c r="D18">
        <f>-S135</f>
        <v>-288</v>
      </c>
      <c r="E18">
        <f>-0.005*E$13</f>
        <v>-268.68460000000005</v>
      </c>
      <c r="F18">
        <f>-0.005*F$13</f>
        <v>-269.78822450000001</v>
      </c>
      <c r="G18">
        <f>-0.005*G$13</f>
        <v>-273.29348544999999</v>
      </c>
      <c r="J18" s="5" t="s">
        <v>21</v>
      </c>
      <c r="K18">
        <f>AA96/AVERAGE(AA28:AB28)</f>
        <v>2.9278921446242536E-3</v>
      </c>
      <c r="L18">
        <f>AB96/AVERAGE(AB28:AC28)</f>
        <v>-0.12218949331411981</v>
      </c>
      <c r="N18">
        <v>2.4712820738523832E-2</v>
      </c>
      <c r="O18">
        <v>3.0614530144226462E-2</v>
      </c>
      <c r="R18" s="5" t="s">
        <v>243</v>
      </c>
      <c r="S18">
        <f>SUM(S7:S17)</f>
        <v>36614</v>
      </c>
      <c r="T18">
        <f>SUM(T7:T17)</f>
        <v>40777</v>
      </c>
      <c r="U18">
        <f>SUM(U7:U17)</f>
        <v>43825</v>
      </c>
      <c r="X18" s="5" t="s">
        <v>244</v>
      </c>
      <c r="Y18" t="s">
        <v>201</v>
      </c>
      <c r="Z18">
        <v>16</v>
      </c>
      <c r="AA18">
        <v>1607</v>
      </c>
      <c r="AB18">
        <v>2121</v>
      </c>
      <c r="AC18">
        <v>2190</v>
      </c>
    </row>
    <row r="19" spans="1:29" x14ac:dyDescent="0.3">
      <c r="B19" s="5" t="s">
        <v>519</v>
      </c>
      <c r="C19" t="s">
        <v>494</v>
      </c>
      <c r="D19">
        <f>SUM(D15,D17:D18)</f>
        <v>930</v>
      </c>
      <c r="E19">
        <f>SUM(E15,E17:E18)</f>
        <v>1159.7014000000004</v>
      </c>
      <c r="F19">
        <f>SUM(F15,F17:F18)</f>
        <v>1286.8915102999997</v>
      </c>
      <c r="G19">
        <f>SUM(G15,G17:G18)</f>
        <v>1483.8170545</v>
      </c>
      <c r="J19" s="5" t="s">
        <v>583</v>
      </c>
      <c r="K19">
        <f>AVERAGE(AA28:AB28)/AVERAGE(AA55:AB55)</f>
        <v>5.6172627016000511</v>
      </c>
      <c r="L19">
        <f>AVERAGE(AB28:AC28)/AVERAGE(AB55:AC55)</f>
        <v>4.3306566328637635</v>
      </c>
      <c r="N19">
        <v>2.0031297524850675</v>
      </c>
      <c r="O19">
        <v>2.0097218471509586</v>
      </c>
      <c r="R19" s="5" t="s">
        <v>241</v>
      </c>
      <c r="X19" s="5" t="s">
        <v>242</v>
      </c>
      <c r="Y19" t="s">
        <v>201</v>
      </c>
      <c r="Z19">
        <v>17</v>
      </c>
      <c r="AA19">
        <v>3819</v>
      </c>
      <c r="AB19">
        <v>3814</v>
      </c>
      <c r="AC19">
        <v>3705</v>
      </c>
    </row>
    <row r="20" spans="1:29" x14ac:dyDescent="0.3">
      <c r="B20" s="5" t="s">
        <v>520</v>
      </c>
      <c r="C20" t="s">
        <v>495</v>
      </c>
      <c r="D20">
        <f>S127</f>
        <v>2.8571428571428571E-2</v>
      </c>
      <c r="E20">
        <v>0.2</v>
      </c>
      <c r="F20">
        <v>0.25</v>
      </c>
      <c r="G20">
        <v>0.3</v>
      </c>
      <c r="J20" s="5" t="s">
        <v>13</v>
      </c>
      <c r="K20">
        <f>K18*K19</f>
        <v>1.6446739338305604E-2</v>
      </c>
      <c r="L20">
        <f>L18*L19</f>
        <v>-0.52916073968705546</v>
      </c>
      <c r="N20">
        <f>N18*N19</f>
        <v>4.9502986489167088E-2</v>
      </c>
      <c r="O20">
        <f>O18*O19</f>
        <v>6.1526690071113506E-2</v>
      </c>
      <c r="R20" s="5" t="s">
        <v>229</v>
      </c>
      <c r="S20">
        <f>AA30</f>
        <v>-8568</v>
      </c>
      <c r="T20">
        <f>AB30</f>
        <v>-9922</v>
      </c>
      <c r="U20">
        <f>AC30</f>
        <v>-10595</v>
      </c>
      <c r="X20" s="5" t="s">
        <v>240</v>
      </c>
      <c r="Y20" t="s">
        <v>197</v>
      </c>
      <c r="Z20">
        <v>21</v>
      </c>
      <c r="AA20">
        <v>176</v>
      </c>
      <c r="AB20">
        <v>153</v>
      </c>
      <c r="AC20">
        <v>80</v>
      </c>
    </row>
    <row r="21" spans="1:29" x14ac:dyDescent="0.3">
      <c r="B21" s="5" t="s">
        <v>521</v>
      </c>
      <c r="C21" t="s">
        <v>584</v>
      </c>
      <c r="D21">
        <f>D19*(1-D20)</f>
        <v>903.42857142857144</v>
      </c>
      <c r="E21">
        <f>E19*(1-E20)</f>
        <v>927.76112000000035</v>
      </c>
      <c r="F21">
        <f>F19*(1-F20)</f>
        <v>965.16863272499972</v>
      </c>
      <c r="G21">
        <f>G19*(1-G20)</f>
        <v>1038.67193815</v>
      </c>
      <c r="J21" s="5" t="s">
        <v>585</v>
      </c>
      <c r="R21" s="5" t="str">
        <f>X34</f>
        <v>Current tax liabilities</v>
      </c>
      <c r="S21">
        <f t="shared" ref="S21:U22" si="5">AA34</f>
        <v>-419</v>
      </c>
      <c r="T21">
        <f t="shared" si="5"/>
        <v>-95</v>
      </c>
      <c r="U21">
        <f t="shared" si="5"/>
        <v>-494</v>
      </c>
      <c r="X21" s="5" t="s">
        <v>239</v>
      </c>
      <c r="Y21" t="s">
        <v>201</v>
      </c>
      <c r="AA21">
        <v>15</v>
      </c>
      <c r="AB21">
        <v>16</v>
      </c>
      <c r="AC21">
        <v>12</v>
      </c>
    </row>
    <row r="22" spans="1:29" x14ac:dyDescent="0.3">
      <c r="B22" s="5" t="s">
        <v>522</v>
      </c>
      <c r="C22" t="s">
        <v>496</v>
      </c>
      <c r="D22">
        <f>K8</f>
        <v>9.2718600953895072E-2</v>
      </c>
      <c r="E22">
        <v>6.5000000000000002E-2</v>
      </c>
      <c r="F22">
        <v>7.0000000000000007E-2</v>
      </c>
      <c r="G22">
        <v>7.4999999999999997E-2</v>
      </c>
      <c r="J22" s="5" t="s">
        <v>20</v>
      </c>
      <c r="K22">
        <f>AA96/S83</f>
        <v>2.3698859147943344E-3</v>
      </c>
      <c r="L22">
        <f>AB96/T83</f>
        <v>-0.10129117259552042</v>
      </c>
      <c r="N22">
        <v>1.4240967827840267E-2</v>
      </c>
      <c r="O22">
        <v>1.7911894965800989E-2</v>
      </c>
      <c r="R22" s="5" t="str">
        <f>X35&amp;", current"</f>
        <v>Provisions, current</v>
      </c>
      <c r="S22">
        <f t="shared" si="5"/>
        <v>-360</v>
      </c>
      <c r="T22">
        <f t="shared" si="5"/>
        <v>-671</v>
      </c>
      <c r="U22">
        <f t="shared" si="5"/>
        <v>-250</v>
      </c>
      <c r="X22" s="5" t="s">
        <v>238</v>
      </c>
      <c r="Y22" t="s">
        <v>197</v>
      </c>
      <c r="Z22">
        <v>18</v>
      </c>
      <c r="AA22">
        <f>3463</f>
        <v>3463</v>
      </c>
      <c r="AB22">
        <v>593</v>
      </c>
      <c r="AC22">
        <v>1016</v>
      </c>
    </row>
    <row r="23" spans="1:29" x14ac:dyDescent="0.3">
      <c r="B23" s="5" t="s">
        <v>523</v>
      </c>
      <c r="C23" t="s">
        <v>586</v>
      </c>
      <c r="D23">
        <f>S123</f>
        <v>-729</v>
      </c>
      <c r="E23">
        <f>-D39*E22</f>
        <v>-404.755</v>
      </c>
      <c r="F23">
        <f>-E39*F22</f>
        <v>-391.30642087272724</v>
      </c>
      <c r="G23">
        <f>-F39*G22</f>
        <v>-356.37764239316567</v>
      </c>
      <c r="J23" s="5" t="s">
        <v>19</v>
      </c>
      <c r="K23">
        <f>S83/AVERAGE(AA28:AB28)</f>
        <v>1.2354570008397829</v>
      </c>
      <c r="L23">
        <f>T83/AVERAGE(AB28:AC28)</f>
        <v>1.2063192693212401</v>
      </c>
      <c r="N23">
        <v>1.7353329518947229</v>
      </c>
      <c r="O23">
        <v>1.7091731613365582</v>
      </c>
      <c r="R23" s="5" t="str">
        <f>X33</f>
        <v>Customer deposits and deposits from banks</v>
      </c>
      <c r="S23">
        <f>AA33</f>
        <v>-7479</v>
      </c>
      <c r="T23">
        <f>AB33</f>
        <v>-7020</v>
      </c>
      <c r="U23">
        <f>AC33</f>
        <v>-6858</v>
      </c>
      <c r="X23" s="5" t="s">
        <v>237</v>
      </c>
      <c r="Z23">
        <v>18</v>
      </c>
      <c r="AA23">
        <v>3082</v>
      </c>
      <c r="AB23">
        <v>2165</v>
      </c>
      <c r="AC23">
        <v>2506</v>
      </c>
    </row>
    <row r="24" spans="1:29" x14ac:dyDescent="0.3">
      <c r="B24" s="5" t="s">
        <v>349</v>
      </c>
      <c r="D24">
        <f>SUM(S119:S121,S124,AA95)</f>
        <v>-36</v>
      </c>
      <c r="E24">
        <v>0</v>
      </c>
      <c r="F24">
        <v>0</v>
      </c>
      <c r="G24">
        <v>0</v>
      </c>
      <c r="J24" s="5" t="s">
        <v>13</v>
      </c>
      <c r="K24">
        <f>K22*K23</f>
        <v>2.9278921446242536E-3</v>
      </c>
      <c r="L24">
        <f>L22*L23</f>
        <v>-0.12218949331411982</v>
      </c>
      <c r="R24" s="5" t="str">
        <f>X44</f>
        <v>Deferred tax liabilities</v>
      </c>
      <c r="S24">
        <f>AA44</f>
        <v>-135</v>
      </c>
      <c r="T24">
        <f>AB44</f>
        <v>-199</v>
      </c>
      <c r="U24">
        <f>AC44</f>
        <v>-594</v>
      </c>
      <c r="X24" s="5" t="s">
        <v>236</v>
      </c>
      <c r="Y24" t="s">
        <v>201</v>
      </c>
      <c r="AA24">
        <f>AA65</f>
        <v>2334</v>
      </c>
      <c r="AB24">
        <f>AB65</f>
        <v>2134</v>
      </c>
      <c r="AC24">
        <f>AC65</f>
        <v>2261</v>
      </c>
    </row>
    <row r="25" spans="1:29" x14ac:dyDescent="0.3">
      <c r="B25" s="5" t="s">
        <v>357</v>
      </c>
      <c r="C25" t="s">
        <v>497</v>
      </c>
      <c r="D25">
        <f>SUM(D21,D23:D24)</f>
        <v>138.42857142857144</v>
      </c>
      <c r="E25">
        <f>SUM(E21,E23:E24)</f>
        <v>523.00612000000035</v>
      </c>
      <c r="F25">
        <f>SUM(F21,F23:F24)</f>
        <v>573.86221185227248</v>
      </c>
      <c r="G25">
        <f>SUM(G21,G23:G24)</f>
        <v>682.29429575683434</v>
      </c>
      <c r="J25" s="5" t="s">
        <v>289</v>
      </c>
      <c r="R25" s="5" t="s">
        <v>234</v>
      </c>
      <c r="S25">
        <f>SUM(AA45,AA43)</f>
        <v>-3839</v>
      </c>
      <c r="T25">
        <f>SUM(AB45,AB43)</f>
        <v>-5537</v>
      </c>
      <c r="U25">
        <f>SUM(AC45,AC43)</f>
        <v>-3376</v>
      </c>
      <c r="X25" s="5" t="s">
        <v>235</v>
      </c>
      <c r="Y25" t="s">
        <v>197</v>
      </c>
      <c r="AA25">
        <f>AA23-AA24</f>
        <v>748</v>
      </c>
      <c r="AB25">
        <f>AB23-AB24</f>
        <v>31</v>
      </c>
      <c r="AC25">
        <f>AC23-AC24</f>
        <v>245</v>
      </c>
    </row>
    <row r="26" spans="1:29" x14ac:dyDescent="0.3">
      <c r="J26" s="5" t="s">
        <v>12</v>
      </c>
      <c r="K26">
        <f>S106/AVERAGE(S53:T53)</f>
        <v>-16.657218501790997</v>
      </c>
      <c r="L26">
        <f>T106/AVERAGE(T53:U53)</f>
        <v>-16.561538461538461</v>
      </c>
      <c r="N26">
        <v>-13.536457871888013</v>
      </c>
      <c r="O26">
        <v>-9.1709883037316668</v>
      </c>
      <c r="R26" s="5" t="str">
        <f>X40</f>
        <v>Borrowings for Tesco Bank, n/c</v>
      </c>
      <c r="S26">
        <f>AA40</f>
        <v>-1207</v>
      </c>
      <c r="T26">
        <f>AB40</f>
        <v>-898</v>
      </c>
      <c r="U26">
        <f>AC40</f>
        <v>-396</v>
      </c>
      <c r="AA26">
        <f>SUM(AA17:AA23)</f>
        <v>14592</v>
      </c>
      <c r="AB26">
        <f>SUM(AB17:AB23)</f>
        <v>11819</v>
      </c>
      <c r="AC26">
        <f>SUM(AC17:AC23)</f>
        <v>13085</v>
      </c>
    </row>
    <row r="27" spans="1:29" x14ac:dyDescent="0.3">
      <c r="J27" s="5" t="s">
        <v>11</v>
      </c>
      <c r="K27">
        <f>S106/AVERAGE(AA18:AB18)</f>
        <v>28.68991416309013</v>
      </c>
      <c r="L27">
        <f>T106/AVERAGE(AB18:AC18)</f>
        <v>25.969844583623289</v>
      </c>
      <c r="N27">
        <v>33.735040847869286</v>
      </c>
      <c r="O27">
        <v>33.1307847082495</v>
      </c>
      <c r="R27" s="5" t="s">
        <v>232</v>
      </c>
      <c r="S27">
        <f>SUM(S20:S26)</f>
        <v>-22007</v>
      </c>
      <c r="T27">
        <f>SUM(T20:T26)</f>
        <v>-24342</v>
      </c>
      <c r="U27">
        <f>SUM(U20:U26)</f>
        <v>-22563</v>
      </c>
      <c r="X27" s="5" t="s">
        <v>233</v>
      </c>
      <c r="Y27" t="s">
        <v>45</v>
      </c>
      <c r="Z27">
        <v>7</v>
      </c>
      <c r="AA27">
        <v>236</v>
      </c>
      <c r="AB27">
        <v>139</v>
      </c>
      <c r="AC27">
        <v>2487</v>
      </c>
    </row>
    <row r="28" spans="1:29" x14ac:dyDescent="0.3">
      <c r="B28" s="5" t="s">
        <v>323</v>
      </c>
      <c r="D28" t="str">
        <f>D2</f>
        <v>2015/16A</v>
      </c>
      <c r="E28" t="str">
        <f>E2</f>
        <v>2016/17E</v>
      </c>
      <c r="F28" t="str">
        <f>F2</f>
        <v>2017/18E</v>
      </c>
      <c r="G28" t="str">
        <f>G2</f>
        <v>2018/19E</v>
      </c>
      <c r="J28" s="5" t="s">
        <v>10</v>
      </c>
      <c r="K28">
        <f>-S107/AVERAGE(AA17:AB17)</f>
        <v>15.302765917950621</v>
      </c>
      <c r="L28">
        <f>-T107/AVERAGE(AB17:AC17)</f>
        <v>13.402418490739324</v>
      </c>
      <c r="N28">
        <v>9.6760238568588477</v>
      </c>
      <c r="O28">
        <v>9.9188352439126426</v>
      </c>
      <c r="R28" s="5" t="s">
        <v>230</v>
      </c>
      <c r="S28">
        <f>S18+S27</f>
        <v>14607</v>
      </c>
      <c r="T28">
        <f>T18+T27</f>
        <v>16435</v>
      </c>
      <c r="U28">
        <f>U18+U27</f>
        <v>21262</v>
      </c>
      <c r="X28" s="5" t="s">
        <v>231</v>
      </c>
      <c r="AA28">
        <f>AA15+AA26+AA27</f>
        <v>43904</v>
      </c>
      <c r="AB28">
        <f>AB15+AB26+AB27</f>
        <v>44214</v>
      </c>
      <c r="AC28">
        <f>AC15+AC26+AC27</f>
        <v>50164</v>
      </c>
    </row>
    <row r="29" spans="1:29" x14ac:dyDescent="0.3">
      <c r="A29" t="s">
        <v>340</v>
      </c>
      <c r="B29" s="5" t="s">
        <v>525</v>
      </c>
      <c r="C29" t="s">
        <v>498</v>
      </c>
      <c r="J29" s="5" t="s">
        <v>9</v>
      </c>
      <c r="K29">
        <f>S107/AVERAGE(AA30:AB30)</f>
        <v>4.4584099513250406</v>
      </c>
      <c r="L29">
        <f>T107/AVERAGE(AB30:AC30)</f>
        <v>4.2675829799678313</v>
      </c>
      <c r="N29">
        <v>4.5011837821840786</v>
      </c>
      <c r="O29">
        <v>4.5178748380211911</v>
      </c>
      <c r="X29" s="5" t="s">
        <v>28</v>
      </c>
    </row>
    <row r="30" spans="1:29" x14ac:dyDescent="0.3">
      <c r="B30" s="5" t="s">
        <v>266</v>
      </c>
      <c r="D30">
        <f>K26</f>
        <v>-16.657218501790997</v>
      </c>
      <c r="E30">
        <v>-16.5</v>
      </c>
      <c r="F30">
        <v>-16.3</v>
      </c>
      <c r="G30">
        <v>-16</v>
      </c>
      <c r="J30" s="5" t="s">
        <v>297</v>
      </c>
      <c r="R30" s="5" t="s">
        <v>227</v>
      </c>
      <c r="X30" s="5" t="s">
        <v>229</v>
      </c>
      <c r="Y30" t="s">
        <v>200</v>
      </c>
      <c r="Z30">
        <v>19</v>
      </c>
      <c r="AA30">
        <v>-8568</v>
      </c>
      <c r="AB30">
        <v>-9922</v>
      </c>
      <c r="AC30">
        <v>-10595</v>
      </c>
    </row>
    <row r="31" spans="1:29" x14ac:dyDescent="0.3">
      <c r="B31" s="5" t="s">
        <v>322</v>
      </c>
      <c r="D31">
        <f>K35</f>
        <v>-5.5847953216374266</v>
      </c>
      <c r="E31">
        <v>-5.5</v>
      </c>
      <c r="F31">
        <f>E31</f>
        <v>-5.5</v>
      </c>
      <c r="G31">
        <f>F31</f>
        <v>-5.5</v>
      </c>
      <c r="J31" s="5" t="s">
        <v>587</v>
      </c>
      <c r="K31">
        <f t="shared" ref="K31:L33" si="6">365/K27</f>
        <v>12.722240921500429</v>
      </c>
      <c r="L31">
        <f t="shared" si="6"/>
        <v>14.054762585301368</v>
      </c>
      <c r="N31">
        <v>10.819610435511107</v>
      </c>
      <c r="O31">
        <v>11.016944005830194</v>
      </c>
      <c r="R31" s="5" t="s">
        <v>225</v>
      </c>
      <c r="S31">
        <f>-AA31-AA32</f>
        <v>2888</v>
      </c>
      <c r="T31">
        <f>-AB31-AB32</f>
        <v>2097</v>
      </c>
      <c r="U31">
        <f>-AC31-AC32</f>
        <v>2009</v>
      </c>
      <c r="X31" s="5" t="s">
        <v>221</v>
      </c>
      <c r="Y31" t="s">
        <v>199</v>
      </c>
      <c r="Z31">
        <v>20</v>
      </c>
      <c r="AA31">
        <v>-2826</v>
      </c>
      <c r="AB31">
        <v>-2008</v>
      </c>
      <c r="AC31">
        <v>-1910</v>
      </c>
    </row>
    <row r="32" spans="1:29" x14ac:dyDescent="0.3">
      <c r="B32" s="5" t="s">
        <v>524</v>
      </c>
      <c r="C32" t="s">
        <v>588</v>
      </c>
      <c r="J32" s="5" t="s">
        <v>589</v>
      </c>
      <c r="K32">
        <f t="shared" si="6"/>
        <v>23.851897229365811</v>
      </c>
      <c r="L32">
        <f t="shared" si="6"/>
        <v>27.233890678179034</v>
      </c>
      <c r="N32">
        <v>37.722106249383607</v>
      </c>
      <c r="O32">
        <v>36.798675552556105</v>
      </c>
      <c r="R32" s="5" t="str">
        <f>X41</f>
        <v>Other non-current borrowings</v>
      </c>
      <c r="S32">
        <f>-AA41-AA42</f>
        <v>10393</v>
      </c>
      <c r="T32">
        <f>-AB41-AB42</f>
        <v>10699</v>
      </c>
      <c r="U32">
        <f>-AC41-AC42</f>
        <v>9677</v>
      </c>
      <c r="X32" s="5" t="s">
        <v>216</v>
      </c>
      <c r="Y32" t="s">
        <v>199</v>
      </c>
      <c r="Z32">
        <v>21</v>
      </c>
      <c r="AA32">
        <v>-62</v>
      </c>
      <c r="AB32">
        <v>-89</v>
      </c>
      <c r="AC32">
        <v>-99</v>
      </c>
    </row>
    <row r="33" spans="1:29" x14ac:dyDescent="0.3">
      <c r="B33" s="5" t="s">
        <v>266</v>
      </c>
      <c r="D33">
        <f>S53</f>
        <v>-2961</v>
      </c>
      <c r="E33">
        <f>E11/E30</f>
        <v>-3198.3254545454547</v>
      </c>
      <c r="F33">
        <f t="shared" ref="F33:G33" si="7">F11/F30</f>
        <v>-3250.518368098159</v>
      </c>
      <c r="G33">
        <f t="shared" si="7"/>
        <v>-3354.6724771875001</v>
      </c>
      <c r="J33" s="5" t="s">
        <v>590</v>
      </c>
      <c r="K33">
        <f t="shared" si="6"/>
        <v>81.867751953030222</v>
      </c>
      <c r="L33">
        <f t="shared" si="6"/>
        <v>85.528506818337561</v>
      </c>
      <c r="N33">
        <v>81.089779414181919</v>
      </c>
      <c r="O33">
        <v>80.790197401720931</v>
      </c>
      <c r="R33" s="5" t="s">
        <v>358</v>
      </c>
      <c r="S33">
        <f>SUM(S31:S32)</f>
        <v>13281</v>
      </c>
      <c r="T33">
        <f>SUM(T31:T32)</f>
        <v>12796</v>
      </c>
      <c r="U33">
        <f>SUM(U31:U32)</f>
        <v>11686</v>
      </c>
      <c r="X33" s="5" t="s">
        <v>228</v>
      </c>
      <c r="Y33" t="s">
        <v>200</v>
      </c>
      <c r="Z33">
        <v>23</v>
      </c>
      <c r="AA33">
        <v>-7479</v>
      </c>
      <c r="AB33">
        <v>-7020</v>
      </c>
      <c r="AC33">
        <v>-6858</v>
      </c>
    </row>
    <row r="34" spans="1:29" x14ac:dyDescent="0.3">
      <c r="B34" s="5" t="s">
        <v>322</v>
      </c>
      <c r="D34">
        <f>S54</f>
        <v>-144</v>
      </c>
      <c r="E34">
        <f>E12/E31</f>
        <v>-175.37272727272727</v>
      </c>
      <c r="F34">
        <f>F12/F31</f>
        <v>-177.12645454545452</v>
      </c>
      <c r="G34">
        <f>G12/G31</f>
        <v>-178.89771909090908</v>
      </c>
      <c r="J34" s="5" t="s">
        <v>591</v>
      </c>
      <c r="K34">
        <f>K31+K32-K33</f>
        <v>-45.293613802163982</v>
      </c>
      <c r="L34">
        <f>L31+L32-L33</f>
        <v>-44.239853554857163</v>
      </c>
      <c r="N34">
        <v>-32.548062729287203</v>
      </c>
      <c r="O34">
        <v>-32.974577843334629</v>
      </c>
      <c r="R34" s="5" t="s">
        <v>223</v>
      </c>
      <c r="X34" s="5" t="s">
        <v>226</v>
      </c>
      <c r="Y34" t="s">
        <v>200</v>
      </c>
      <c r="Z34">
        <v>6</v>
      </c>
      <c r="AA34">
        <v>-419</v>
      </c>
      <c r="AB34">
        <v>-95</v>
      </c>
      <c r="AC34">
        <v>-494</v>
      </c>
    </row>
    <row r="35" spans="1:29" x14ac:dyDescent="0.3">
      <c r="D35">
        <f>SUM(D33:D34)</f>
        <v>-3105</v>
      </c>
      <c r="E35">
        <f t="shared" ref="E35:G35" si="8">SUM(E33:E34)</f>
        <v>-3373.6981818181821</v>
      </c>
      <c r="F35">
        <f t="shared" si="8"/>
        <v>-3427.6448226436137</v>
      </c>
      <c r="G35">
        <f t="shared" si="8"/>
        <v>-3533.5701962784092</v>
      </c>
      <c r="J35" s="5" t="s">
        <v>337</v>
      </c>
      <c r="K35">
        <f>S112/AVERAGE(S54:T54)</f>
        <v>-5.5847953216374266</v>
      </c>
      <c r="L35">
        <f>T112/AVERAGE(T54:U54)</f>
        <v>-3.5270018621973929</v>
      </c>
      <c r="R35" s="5" t="str">
        <f>X25</f>
        <v>Cash equivalents (financial)</v>
      </c>
      <c r="S35">
        <f>-AA25</f>
        <v>-748</v>
      </c>
      <c r="T35">
        <f>-AB25</f>
        <v>-31</v>
      </c>
      <c r="U35">
        <f>-AC25</f>
        <v>-245</v>
      </c>
      <c r="X35" s="5" t="s">
        <v>211</v>
      </c>
      <c r="Y35" t="s">
        <v>200</v>
      </c>
      <c r="Z35">
        <v>24</v>
      </c>
      <c r="AA35">
        <v>-360</v>
      </c>
      <c r="AB35">
        <v>-671</v>
      </c>
      <c r="AC35">
        <v>-250</v>
      </c>
    </row>
    <row r="36" spans="1:29" x14ac:dyDescent="0.3">
      <c r="B36" s="5" t="s">
        <v>526</v>
      </c>
      <c r="C36" t="s">
        <v>499</v>
      </c>
      <c r="D36">
        <v>-266</v>
      </c>
      <c r="E36">
        <f>E$13*0.01</f>
        <v>537.36920000000009</v>
      </c>
      <c r="F36">
        <f>F$13*0.01</f>
        <v>539.57644900000003</v>
      </c>
      <c r="G36">
        <f>G$13*0.01</f>
        <v>546.58697089999998</v>
      </c>
      <c r="J36" s="5" t="s">
        <v>290</v>
      </c>
      <c r="R36" s="5" t="s">
        <v>220</v>
      </c>
      <c r="S36">
        <f>-(AA20+AA12)</f>
        <v>-1708</v>
      </c>
      <c r="T36">
        <f>-(AB20+AB12)</f>
        <v>-1699</v>
      </c>
      <c r="U36">
        <f>-(AC20+AC12)</f>
        <v>-1576</v>
      </c>
      <c r="AA36">
        <f>SUM(AA30:AA35)</f>
        <v>-19714</v>
      </c>
      <c r="AB36">
        <f>SUM(AB30:AB35)</f>
        <v>-19805</v>
      </c>
      <c r="AC36">
        <f>SUM(AC30:AC35)</f>
        <v>-20206</v>
      </c>
    </row>
    <row r="37" spans="1:29" x14ac:dyDescent="0.3">
      <c r="A37" t="s">
        <v>343</v>
      </c>
      <c r="B37" s="5" t="s">
        <v>527</v>
      </c>
      <c r="C37" t="s">
        <v>592</v>
      </c>
      <c r="D37">
        <f>S57</f>
        <v>17978</v>
      </c>
      <c r="E37">
        <f>D37-E65+E17</f>
        <v>17844.54</v>
      </c>
      <c r="F37">
        <f t="shared" ref="F37:G37" si="9">E37-F65+F17</f>
        <v>17844.54</v>
      </c>
      <c r="G37">
        <f t="shared" si="9"/>
        <v>17933.762699999999</v>
      </c>
      <c r="J37" s="5" t="s">
        <v>298</v>
      </c>
      <c r="K37">
        <f>S106/AVERAGE(AA8:AB8)</f>
        <v>2.7896713615023474</v>
      </c>
      <c r="L37">
        <f>T106/AVERAGE(AB8:AC8)</f>
        <v>2.4917872245715555</v>
      </c>
      <c r="N37">
        <v>6.2763833545577787</v>
      </c>
      <c r="O37">
        <v>6.3382233437406441</v>
      </c>
      <c r="R37" s="5" t="s">
        <v>218</v>
      </c>
      <c r="S37">
        <f>-(AA22+AA11)</f>
        <v>-4598</v>
      </c>
      <c r="T37">
        <f>-(AB22+AB11)</f>
        <v>-1568</v>
      </c>
      <c r="U37">
        <f>-(AC22+AC11)</f>
        <v>-2031</v>
      </c>
      <c r="X37" s="5" t="s">
        <v>224</v>
      </c>
      <c r="Y37" t="s">
        <v>45</v>
      </c>
      <c r="Z37">
        <v>7</v>
      </c>
      <c r="AA37">
        <v>0</v>
      </c>
      <c r="AB37">
        <v>-5</v>
      </c>
      <c r="AC37">
        <v>-1193</v>
      </c>
    </row>
    <row r="38" spans="1:29" x14ac:dyDescent="0.3">
      <c r="B38" s="5" t="s">
        <v>230</v>
      </c>
      <c r="C38" t="s">
        <v>451</v>
      </c>
      <c r="D38">
        <f>SUM(D35:D37)</f>
        <v>14607</v>
      </c>
      <c r="E38">
        <f t="shared" ref="E38:G38" si="10">SUM(E35:E37)</f>
        <v>15008.211018181819</v>
      </c>
      <c r="F38">
        <f t="shared" si="10"/>
        <v>14956.471626356388</v>
      </c>
      <c r="G38">
        <f t="shared" si="10"/>
        <v>14946.77947462159</v>
      </c>
      <c r="J38" s="5" t="s">
        <v>291</v>
      </c>
      <c r="K38">
        <f>S106/(AVERAGE(AA8:AB8)-AVERAGE(AA76:AB76))</f>
        <v>1.9268921036986326</v>
      </c>
      <c r="L38">
        <f>T106/(AVERAGE(AB8:AC8)-AVERAGE(AB76:AC76))</f>
        <v>1.7574958400050233</v>
      </c>
      <c r="N38">
        <v>5.1212039954414426</v>
      </c>
      <c r="O38">
        <v>5.1678755753940582</v>
      </c>
      <c r="R38" s="5" t="s">
        <v>286</v>
      </c>
      <c r="S38">
        <f>SUM(S35:S37)</f>
        <v>-7054</v>
      </c>
      <c r="T38">
        <f>SUM(T35:T37)</f>
        <v>-3298</v>
      </c>
      <c r="U38">
        <f>SUM(U35:U37)</f>
        <v>-3852</v>
      </c>
      <c r="X38" s="5" t="s">
        <v>222</v>
      </c>
    </row>
    <row r="39" spans="1:29" x14ac:dyDescent="0.3">
      <c r="B39" s="5" t="s">
        <v>528</v>
      </c>
      <c r="C39" t="s">
        <v>500</v>
      </c>
      <c r="D39">
        <f>S39</f>
        <v>6227</v>
      </c>
      <c r="E39">
        <f>E42-E40-E41</f>
        <v>5590.0917267532459</v>
      </c>
      <c r="F39">
        <f t="shared" ref="F39:G39" si="11">F42-F40-F41</f>
        <v>4751.7018985755421</v>
      </c>
      <c r="G39">
        <f t="shared" si="11"/>
        <v>3922.4219656339101</v>
      </c>
      <c r="J39" s="5" t="s">
        <v>7</v>
      </c>
      <c r="K39">
        <f>S106/AVERAGE(AA224:AB224)</f>
        <v>6072.4881058807032</v>
      </c>
      <c r="L39">
        <f>T106/AVERAGE(AB224:AC224)</f>
        <v>5888.1110239864047</v>
      </c>
      <c r="N39">
        <v>4472.7890160718989</v>
      </c>
      <c r="O39">
        <v>4520.5905679946318</v>
      </c>
      <c r="R39" s="5" t="s">
        <v>215</v>
      </c>
      <c r="S39">
        <f>S33+S38</f>
        <v>6227</v>
      </c>
      <c r="T39">
        <f>T33+T38</f>
        <v>9498</v>
      </c>
      <c r="U39">
        <f>U33+U38</f>
        <v>7834</v>
      </c>
      <c r="X39" s="5" t="s">
        <v>221</v>
      </c>
      <c r="Z39">
        <v>20</v>
      </c>
      <c r="AA39">
        <v>-10711</v>
      </c>
      <c r="AB39">
        <v>-10651</v>
      </c>
      <c r="AC39">
        <v>-9303</v>
      </c>
    </row>
    <row r="40" spans="1:29" x14ac:dyDescent="0.3">
      <c r="B40" s="5" t="s">
        <v>529</v>
      </c>
      <c r="C40" t="s">
        <v>501</v>
      </c>
      <c r="D40">
        <f>S40</f>
        <v>8626</v>
      </c>
      <c r="E40">
        <f>E52</f>
        <v>9418.119291428573</v>
      </c>
      <c r="F40">
        <f>F52</f>
        <v>10204.769727780846</v>
      </c>
      <c r="G40">
        <f>G52</f>
        <v>11024.357508987679</v>
      </c>
      <c r="J40" s="5" t="s">
        <v>6</v>
      </c>
      <c r="K40">
        <f>S83/AVERAGE(S66:T66)</f>
        <v>2.0881958031227223</v>
      </c>
      <c r="L40">
        <f>T83/AVERAGE(T66:U66)</f>
        <v>1.9604635544917604</v>
      </c>
      <c r="N40">
        <v>3.5459675787485665</v>
      </c>
      <c r="O40">
        <v>3.5253250802596021</v>
      </c>
      <c r="R40" s="5" t="s">
        <v>287</v>
      </c>
      <c r="S40">
        <f>AA53</f>
        <v>8626</v>
      </c>
      <c r="T40">
        <f>AB53</f>
        <v>7071</v>
      </c>
      <c r="U40">
        <f>AC53</f>
        <v>14715</v>
      </c>
      <c r="X40" s="5" t="s">
        <v>219</v>
      </c>
      <c r="Y40" t="s">
        <v>200</v>
      </c>
      <c r="AA40">
        <f>-SUM(AA68:AA73)</f>
        <v>-1207</v>
      </c>
      <c r="AB40">
        <f>-SUM(AB68:AB73)</f>
        <v>-898</v>
      </c>
      <c r="AC40">
        <f>-SUM(AC68:AC73)</f>
        <v>-396</v>
      </c>
    </row>
    <row r="41" spans="1:29" x14ac:dyDescent="0.3">
      <c r="B41" s="5" t="s">
        <v>350</v>
      </c>
      <c r="D41">
        <f>SUM(S41:S42)</f>
        <v>-246</v>
      </c>
      <c r="E41">
        <v>0</v>
      </c>
      <c r="F41">
        <v>0</v>
      </c>
      <c r="G41">
        <v>0</v>
      </c>
      <c r="J41" s="5" t="s">
        <v>292</v>
      </c>
      <c r="R41" s="5" t="s">
        <v>212</v>
      </c>
      <c r="S41">
        <f>-(AA27+AA37)</f>
        <v>-236</v>
      </c>
      <c r="T41">
        <f>-(AB27+AB37)</f>
        <v>-134</v>
      </c>
      <c r="U41">
        <f>-(AC27+AC37)</f>
        <v>-1294</v>
      </c>
      <c r="X41" s="5" t="s">
        <v>217</v>
      </c>
      <c r="Y41" t="s">
        <v>199</v>
      </c>
      <c r="AA41">
        <f>AA39-AA40</f>
        <v>-9504</v>
      </c>
      <c r="AB41">
        <f>AB39-AB40</f>
        <v>-9753</v>
      </c>
      <c r="AC41">
        <f>AC39-AC40</f>
        <v>-8907</v>
      </c>
    </row>
    <row r="42" spans="1:29" x14ac:dyDescent="0.3">
      <c r="D42">
        <f>SUM(D39:D41)</f>
        <v>14607</v>
      </c>
      <c r="E42">
        <f>E38</f>
        <v>15008.211018181819</v>
      </c>
      <c r="F42">
        <f t="shared" ref="F42:G42" si="12">F38</f>
        <v>14956.471626356388</v>
      </c>
      <c r="G42">
        <f t="shared" si="12"/>
        <v>14946.77947462159</v>
      </c>
      <c r="J42" s="5" t="s">
        <v>593</v>
      </c>
      <c r="K42">
        <f>(AA23+AA22)/(-S52)</f>
        <v>0.70022467101743879</v>
      </c>
      <c r="L42">
        <f>(AB23+AB22)/(-T52)</f>
        <v>0.25804640718562877</v>
      </c>
      <c r="N42">
        <v>0.16230449207435885</v>
      </c>
      <c r="O42">
        <v>0.18706040546131569</v>
      </c>
      <c r="R42" s="5" t="str">
        <f>X54</f>
        <v>Non-controlling interests</v>
      </c>
      <c r="S42">
        <f>AA54</f>
        <v>-10</v>
      </c>
      <c r="T42">
        <f>AB54</f>
        <v>0</v>
      </c>
      <c r="U42">
        <f>AC54</f>
        <v>7</v>
      </c>
      <c r="X42" s="5" t="s">
        <v>216</v>
      </c>
      <c r="Y42" t="s">
        <v>199</v>
      </c>
      <c r="Z42">
        <v>21</v>
      </c>
      <c r="AA42">
        <v>-889</v>
      </c>
      <c r="AB42">
        <v>-946</v>
      </c>
      <c r="AC42">
        <v>-770</v>
      </c>
    </row>
    <row r="43" spans="1:29" x14ac:dyDescent="0.3">
      <c r="J43" s="5" t="s">
        <v>293</v>
      </c>
      <c r="K43">
        <f>-AA170/AVERAGE(AA36:AB36)</f>
        <v>0.10759381563298666</v>
      </c>
      <c r="L43">
        <f>-AB170/AVERAGE(AB36:AC36)</f>
        <v>2.4193346829621855E-2</v>
      </c>
      <c r="N43">
        <v>0.14700587084148728</v>
      </c>
      <c r="O43">
        <v>0.13887632076224948</v>
      </c>
      <c r="R43" s="5" t="s">
        <v>25</v>
      </c>
      <c r="S43">
        <f>SUM(S39:S42)</f>
        <v>14607</v>
      </c>
      <c r="T43">
        <f>SUM(T39:T42)</f>
        <v>16435</v>
      </c>
      <c r="U43">
        <f>SUM(U39:U42)</f>
        <v>21262</v>
      </c>
      <c r="X43" s="5" t="s">
        <v>214</v>
      </c>
      <c r="Y43" t="s">
        <v>200</v>
      </c>
      <c r="Z43">
        <v>26</v>
      </c>
      <c r="AA43">
        <v>-3175</v>
      </c>
      <c r="AB43">
        <v>-4842</v>
      </c>
      <c r="AC43">
        <v>-3193</v>
      </c>
    </row>
    <row r="44" spans="1:29" x14ac:dyDescent="0.3">
      <c r="J44" s="5" t="s">
        <v>5</v>
      </c>
      <c r="R44" s="5" t="s">
        <v>57</v>
      </c>
      <c r="S44">
        <f>S28-S43</f>
        <v>0</v>
      </c>
      <c r="T44">
        <f>T28-T43</f>
        <v>0</v>
      </c>
      <c r="U44">
        <f>U28-U43</f>
        <v>0</v>
      </c>
      <c r="X44" s="5" t="s">
        <v>213</v>
      </c>
      <c r="Y44" t="s">
        <v>200</v>
      </c>
      <c r="Z44">
        <v>6</v>
      </c>
      <c r="AA44">
        <v>-135</v>
      </c>
      <c r="AB44">
        <v>-199</v>
      </c>
      <c r="AC44">
        <v>-594</v>
      </c>
    </row>
    <row r="45" spans="1:29" x14ac:dyDescent="0.3">
      <c r="B45" s="5" t="s">
        <v>353</v>
      </c>
      <c r="D45" t="str">
        <f>D2</f>
        <v>2015/16A</v>
      </c>
      <c r="E45" t="str">
        <f>E2</f>
        <v>2016/17E</v>
      </c>
      <c r="F45" t="str">
        <f>F2</f>
        <v>2017/18E</v>
      </c>
      <c r="G45" t="str">
        <f>G2</f>
        <v>2018/19E</v>
      </c>
      <c r="J45" s="5" t="s">
        <v>4</v>
      </c>
      <c r="K45">
        <f>S33/AA55</f>
        <v>1.5414345403899721</v>
      </c>
      <c r="L45">
        <f>T33/AB55</f>
        <v>1.8096450289916561</v>
      </c>
      <c r="N45">
        <v>0.7147676161919041</v>
      </c>
      <c r="O45">
        <v>0.83817346240344182</v>
      </c>
      <c r="X45" s="5" t="s">
        <v>211</v>
      </c>
      <c r="Y45" t="s">
        <v>200</v>
      </c>
      <c r="Z45">
        <v>24</v>
      </c>
      <c r="AA45">
        <v>-664</v>
      </c>
      <c r="AB45">
        <v>-695</v>
      </c>
      <c r="AC45">
        <v>-183</v>
      </c>
    </row>
    <row r="46" spans="1:29" x14ac:dyDescent="0.3">
      <c r="A46" t="s">
        <v>341</v>
      </c>
      <c r="B46" s="5" t="s">
        <v>530</v>
      </c>
      <c r="C46" t="s">
        <v>502</v>
      </c>
      <c r="D46">
        <f>T40</f>
        <v>7071</v>
      </c>
      <c r="E46">
        <f>D52</f>
        <v>8626.4285714285725</v>
      </c>
      <c r="F46">
        <f>E52</f>
        <v>9418.119291428573</v>
      </c>
      <c r="G46">
        <f>F52</f>
        <v>10204.769727780846</v>
      </c>
      <c r="J46" s="5" t="s">
        <v>594</v>
      </c>
      <c r="K46">
        <f>S39/S40</f>
        <v>0.72188731741247392</v>
      </c>
      <c r="L46">
        <f>T39/T40</f>
        <v>1.3432329232074671</v>
      </c>
      <c r="N46">
        <v>0.47119277483649952</v>
      </c>
      <c r="O46">
        <v>0.61392818280739936</v>
      </c>
      <c r="AA46">
        <f>SUM(AA39:AA45)</f>
        <v>-26285</v>
      </c>
      <c r="AB46">
        <f>SUM(AB39:AB45)</f>
        <v>-27984</v>
      </c>
      <c r="AC46">
        <f>SUM(AC39:AC45)</f>
        <v>-23346</v>
      </c>
    </row>
    <row r="47" spans="1:29" x14ac:dyDescent="0.3">
      <c r="B47" s="5" t="s">
        <v>357</v>
      </c>
      <c r="C47" t="s">
        <v>503</v>
      </c>
      <c r="D47">
        <f>D25</f>
        <v>138.42857142857144</v>
      </c>
      <c r="E47">
        <f>E25</f>
        <v>523.00612000000035</v>
      </c>
      <c r="F47">
        <f>F25</f>
        <v>573.86221185227248</v>
      </c>
      <c r="G47">
        <f>G25</f>
        <v>682.29429575683434</v>
      </c>
      <c r="J47" s="5" t="s">
        <v>299</v>
      </c>
      <c r="K47">
        <f>SUM(S39,-AA76)/S40</f>
        <v>1.6277533039647578</v>
      </c>
      <c r="L47">
        <f>SUM(T39,-AB76)/T40</f>
        <v>2.6659595531042286</v>
      </c>
      <c r="N47">
        <v>0.75635835150005193</v>
      </c>
      <c r="O47">
        <v>0.91251360174102281</v>
      </c>
      <c r="R47" s="5" t="s">
        <v>206</v>
      </c>
      <c r="X47" s="5" t="s">
        <v>8</v>
      </c>
      <c r="AA47">
        <f>(AA36+AA37+AA46)</f>
        <v>-45999</v>
      </c>
      <c r="AB47">
        <f>(AB36+AB37+AB46)</f>
        <v>-47794</v>
      </c>
      <c r="AC47">
        <f>(AC36+AC37+AC46)</f>
        <v>-44745</v>
      </c>
    </row>
    <row r="48" spans="1:29" x14ac:dyDescent="0.3">
      <c r="B48" s="5" t="s">
        <v>531</v>
      </c>
      <c r="C48" t="s">
        <v>504</v>
      </c>
      <c r="D48">
        <v>0</v>
      </c>
      <c r="E48">
        <v>0</v>
      </c>
      <c r="F48">
        <v>0.1</v>
      </c>
      <c r="G48">
        <v>0.2</v>
      </c>
      <c r="J48" s="5" t="s">
        <v>3</v>
      </c>
      <c r="K48">
        <f>IF(S132&lt;=0,"N/A",-S132/SUM(AA90:AA91))</f>
        <v>1.0776361529548089</v>
      </c>
      <c r="L48">
        <f>IF(T132&lt;=0,"N/A",-T132/SUM(AB90:AB91))</f>
        <v>1.7302977232924694</v>
      </c>
      <c r="N48">
        <v>4.3339805825242719</v>
      </c>
      <c r="O48">
        <v>4.5765124555160144</v>
      </c>
      <c r="R48" s="5" t="s">
        <v>285</v>
      </c>
      <c r="S48">
        <f>S2</f>
        <v>2016</v>
      </c>
      <c r="T48">
        <f>T2</f>
        <v>2015</v>
      </c>
      <c r="U48">
        <f>U2</f>
        <v>2014</v>
      </c>
      <c r="X48" s="5" t="s">
        <v>210</v>
      </c>
      <c r="AA48">
        <f>SUM(AA28,AA47)</f>
        <v>-2095</v>
      </c>
      <c r="AB48">
        <f>SUM(AB28,AB47)</f>
        <v>-3580</v>
      </c>
      <c r="AC48">
        <f>SUM(AC28,AC47)</f>
        <v>5419</v>
      </c>
    </row>
    <row r="49" spans="1:29" x14ac:dyDescent="0.3">
      <c r="B49" s="5" t="s">
        <v>430</v>
      </c>
      <c r="C49" t="s">
        <v>505</v>
      </c>
      <c r="D49">
        <f>-D48*D47</f>
        <v>0</v>
      </c>
      <c r="E49">
        <f>-ROUND(E48*E47,0)</f>
        <v>0</v>
      </c>
      <c r="F49">
        <f>-ROUND(F48*F47,0)</f>
        <v>-57</v>
      </c>
      <c r="G49">
        <f>-ROUND(G48*G47,0)</f>
        <v>-136</v>
      </c>
      <c r="J49" s="5" t="s">
        <v>2</v>
      </c>
      <c r="R49" s="5" t="s">
        <v>203</v>
      </c>
      <c r="X49" s="5" t="s">
        <v>209</v>
      </c>
    </row>
    <row r="50" spans="1:29" x14ac:dyDescent="0.3">
      <c r="B50" s="5" t="s">
        <v>532</v>
      </c>
      <c r="C50" t="s">
        <v>506</v>
      </c>
      <c r="D50">
        <f>SUM(AA233:AA236)</f>
        <v>285</v>
      </c>
      <c r="E50">
        <f>-E18</f>
        <v>268.68460000000005</v>
      </c>
      <c r="F50">
        <f>-F18</f>
        <v>269.78822450000001</v>
      </c>
      <c r="G50">
        <f>-G18</f>
        <v>273.29348544999999</v>
      </c>
      <c r="J50" s="5" t="s">
        <v>1</v>
      </c>
      <c r="K50">
        <f>IF(AA118&lt;0,"N/A",-AA120/AA118)</f>
        <v>0</v>
      </c>
      <c r="L50" t="str">
        <f>IF(AB118&lt;0,"N/A",-AB120/AB118)</f>
        <v>N/A</v>
      </c>
      <c r="N50">
        <v>0.53941908713692943</v>
      </c>
      <c r="O50">
        <v>0.21074964639321075</v>
      </c>
      <c r="R50" s="5" t="s">
        <v>266</v>
      </c>
      <c r="X50" s="5" t="s">
        <v>208</v>
      </c>
      <c r="Z50">
        <v>27</v>
      </c>
      <c r="AA50">
        <f>407+5095</f>
        <v>5502</v>
      </c>
      <c r="AB50">
        <v>5500</v>
      </c>
      <c r="AC50">
        <v>5485</v>
      </c>
    </row>
    <row r="51" spans="1:29" x14ac:dyDescent="0.3">
      <c r="B51" s="5" t="s">
        <v>533</v>
      </c>
      <c r="C51" t="s">
        <v>328</v>
      </c>
      <c r="D51">
        <f>AA232</f>
        <v>1132</v>
      </c>
      <c r="E51">
        <v>0</v>
      </c>
      <c r="F51">
        <v>0</v>
      </c>
      <c r="G51">
        <v>0</v>
      </c>
      <c r="J51" s="5" t="s">
        <v>0</v>
      </c>
      <c r="K51">
        <f>-S195/S40</f>
        <v>0</v>
      </c>
      <c r="L51">
        <f>-T195/T40</f>
        <v>0</v>
      </c>
      <c r="N51">
        <v>0.39795918367346939</v>
      </c>
      <c r="O51">
        <v>0.11929543634907927</v>
      </c>
      <c r="R51" s="5" t="s">
        <v>267</v>
      </c>
      <c r="S51">
        <f>SUM(S7:S10)</f>
        <v>6386</v>
      </c>
      <c r="T51">
        <f>SUM(T7:T10)</f>
        <v>7228</v>
      </c>
      <c r="U51">
        <f>SUM(U7:U10)</f>
        <v>8039</v>
      </c>
      <c r="X51" s="5" t="s">
        <v>207</v>
      </c>
      <c r="AA51">
        <v>-141</v>
      </c>
      <c r="AB51">
        <v>-414</v>
      </c>
      <c r="AC51">
        <v>-498</v>
      </c>
    </row>
    <row r="52" spans="1:29" x14ac:dyDescent="0.3">
      <c r="B52" s="5" t="s">
        <v>534</v>
      </c>
      <c r="C52" t="s">
        <v>507</v>
      </c>
      <c r="D52">
        <f>SUM(D46:D47,D49:D51)</f>
        <v>8626.4285714285725</v>
      </c>
      <c r="E52">
        <f>SUM(E46:E47,E49:E51)</f>
        <v>9418.119291428573</v>
      </c>
      <c r="F52">
        <f t="shared" ref="F52:G52" si="13">SUM(F46:F47,F49:F51)</f>
        <v>10204.769727780846</v>
      </c>
      <c r="G52">
        <f t="shared" si="13"/>
        <v>11024.357508987679</v>
      </c>
      <c r="R52" s="5" t="s">
        <v>268</v>
      </c>
      <c r="S52">
        <f>SUM(S20:S22)</f>
        <v>-9347</v>
      </c>
      <c r="T52">
        <f>SUM(T20:T22)</f>
        <v>-10688</v>
      </c>
      <c r="U52">
        <f>SUM(U20:U22)</f>
        <v>-11339</v>
      </c>
      <c r="X52" s="5" t="s">
        <v>205</v>
      </c>
      <c r="AA52">
        <v>3265</v>
      </c>
      <c r="AB52">
        <v>1985</v>
      </c>
      <c r="AC52">
        <v>9728</v>
      </c>
    </row>
    <row r="53" spans="1:29" x14ac:dyDescent="0.3">
      <c r="J53" s="5" t="s">
        <v>301</v>
      </c>
      <c r="R53" s="5" t="s">
        <v>269</v>
      </c>
      <c r="S53">
        <f>SUM(S51:S52)</f>
        <v>-2961</v>
      </c>
      <c r="T53">
        <f>SUM(T51:T52)</f>
        <v>-3460</v>
      </c>
      <c r="U53">
        <f>SUM(U51:U52)</f>
        <v>-3300</v>
      </c>
      <c r="X53" s="5" t="s">
        <v>204</v>
      </c>
      <c r="Y53" t="s">
        <v>195</v>
      </c>
      <c r="AA53">
        <f>SUM(AA50:AA52)</f>
        <v>8626</v>
      </c>
      <c r="AB53">
        <f>SUM(AB50:AB52)</f>
        <v>7071</v>
      </c>
      <c r="AC53">
        <f>SUM(AC50:AC52)</f>
        <v>14715</v>
      </c>
    </row>
    <row r="54" spans="1:29" x14ac:dyDescent="0.3">
      <c r="J54" s="5" t="str">
        <f>R163</f>
        <v>Adj. operating cash flows</v>
      </c>
      <c r="R54" s="5" t="s">
        <v>198</v>
      </c>
      <c r="S54">
        <f>S11+S17+S23+S26</f>
        <v>-144</v>
      </c>
      <c r="T54">
        <f>T11+T17+T23+T26</f>
        <v>-198</v>
      </c>
      <c r="U54">
        <f>U11+U17+U23+U26</f>
        <v>-339</v>
      </c>
      <c r="X54" s="5" t="s">
        <v>133</v>
      </c>
      <c r="Y54" t="s">
        <v>45</v>
      </c>
      <c r="AA54">
        <v>-10</v>
      </c>
      <c r="AB54">
        <v>0</v>
      </c>
      <c r="AC54">
        <v>7</v>
      </c>
    </row>
    <row r="55" spans="1:29" x14ac:dyDescent="0.3">
      <c r="B55" s="5" t="s">
        <v>321</v>
      </c>
      <c r="D55" t="str">
        <f>D2</f>
        <v>2015/16A</v>
      </c>
      <c r="E55" t="str">
        <f>E2</f>
        <v>2016/17E</v>
      </c>
      <c r="F55" t="str">
        <f>F2</f>
        <v>2017/18E</v>
      </c>
      <c r="G55" t="str">
        <f>G2</f>
        <v>2018/19E</v>
      </c>
      <c r="J55" s="5" t="s">
        <v>309</v>
      </c>
      <c r="R55" s="5" t="s">
        <v>196</v>
      </c>
      <c r="S55">
        <f>SUM(S53:S54)</f>
        <v>-3105</v>
      </c>
      <c r="T55">
        <f>SUM(T53:T54)</f>
        <v>-3658</v>
      </c>
      <c r="U55">
        <f>SUM(U53:U54)</f>
        <v>-3639</v>
      </c>
      <c r="X55" s="5" t="s">
        <v>202</v>
      </c>
      <c r="AA55">
        <f>SUM(AA53:AA54)</f>
        <v>8616</v>
      </c>
      <c r="AB55">
        <f>SUM(AB53:AB54)</f>
        <v>7071</v>
      </c>
      <c r="AC55">
        <f>SUM(AC53:AC54)</f>
        <v>14722</v>
      </c>
    </row>
    <row r="56" spans="1:29" x14ac:dyDescent="0.3">
      <c r="A56" t="s">
        <v>342</v>
      </c>
      <c r="B56" s="5" t="s">
        <v>122</v>
      </c>
      <c r="J56" s="5" t="s">
        <v>303</v>
      </c>
      <c r="K56">
        <f t="shared" ref="K56:L58" si="14">S207</f>
        <v>2231</v>
      </c>
      <c r="L56">
        <f t="shared" si="14"/>
        <v>715</v>
      </c>
      <c r="R56" s="5" t="s">
        <v>194</v>
      </c>
      <c r="Y56" t="s">
        <v>201</v>
      </c>
      <c r="AA56">
        <f t="shared" ref="AA56:AC57" si="15">SUMIFS(AA$7:AA$55,$Y$7:$Y$55,"="&amp;$Y56)</f>
        <v>36614</v>
      </c>
      <c r="AB56">
        <f t="shared" si="15"/>
        <v>40777</v>
      </c>
      <c r="AC56">
        <f t="shared" si="15"/>
        <v>43825</v>
      </c>
    </row>
    <row r="57" spans="1:29" x14ac:dyDescent="0.3">
      <c r="B57" s="5" t="s">
        <v>521</v>
      </c>
      <c r="C57" t="s">
        <v>508</v>
      </c>
      <c r="D57" t="s">
        <v>296</v>
      </c>
      <c r="E57">
        <f>E21</f>
        <v>927.76112000000035</v>
      </c>
      <c r="F57">
        <f>F21</f>
        <v>965.16863272499972</v>
      </c>
      <c r="G57">
        <f>G21</f>
        <v>1038.67193815</v>
      </c>
      <c r="J57" s="5" t="str">
        <f>R208</f>
        <v>Change in working capital</v>
      </c>
      <c r="K57">
        <f t="shared" si="14"/>
        <v>350</v>
      </c>
      <c r="L57">
        <f t="shared" si="14"/>
        <v>1145</v>
      </c>
      <c r="R57" s="5" t="s">
        <v>193</v>
      </c>
      <c r="S57">
        <f>S12+S14</f>
        <v>17978</v>
      </c>
      <c r="T57">
        <f>T12+T14</f>
        <v>20604</v>
      </c>
      <c r="U57">
        <f>U12+U14</f>
        <v>24717</v>
      </c>
      <c r="Y57" t="s">
        <v>200</v>
      </c>
      <c r="AA57">
        <f t="shared" si="15"/>
        <v>-22007</v>
      </c>
      <c r="AB57">
        <f t="shared" si="15"/>
        <v>-24342</v>
      </c>
      <c r="AC57">
        <f t="shared" si="15"/>
        <v>-22563</v>
      </c>
    </row>
    <row r="58" spans="1:29" x14ac:dyDescent="0.3">
      <c r="B58" s="5" t="s">
        <v>319</v>
      </c>
      <c r="D58" t="s">
        <v>296</v>
      </c>
      <c r="K58">
        <f t="shared" si="14"/>
        <v>2581</v>
      </c>
      <c r="L58">
        <f t="shared" si="14"/>
        <v>1860</v>
      </c>
      <c r="R58" s="5" t="s">
        <v>192</v>
      </c>
      <c r="S58">
        <f>S13+S15+S16</f>
        <v>3708</v>
      </c>
      <c r="T58">
        <f>T13+T15+T16</f>
        <v>5225</v>
      </c>
      <c r="U58">
        <f>U13+U15+U16</f>
        <v>4154</v>
      </c>
      <c r="Y58" t="s">
        <v>199</v>
      </c>
      <c r="AA58">
        <f t="shared" ref="AA58:AC59" si="16">-SUMIFS(AA$7:AA$55,$Y$7:$Y$55,"="&amp;$Y58)</f>
        <v>13281</v>
      </c>
      <c r="AB58">
        <f t="shared" si="16"/>
        <v>12796</v>
      </c>
      <c r="AC58">
        <f t="shared" si="16"/>
        <v>11686</v>
      </c>
    </row>
    <row r="59" spans="1:29" x14ac:dyDescent="0.3">
      <c r="B59" s="5" t="s">
        <v>535</v>
      </c>
      <c r="C59" t="s">
        <v>508</v>
      </c>
      <c r="D59" t="s">
        <v>296</v>
      </c>
      <c r="E59">
        <f>-E17</f>
        <v>1258.46</v>
      </c>
      <c r="F59">
        <f>-F17</f>
        <v>1249.1178000000002</v>
      </c>
      <c r="G59">
        <f>-G17</f>
        <v>1249.1178000000002</v>
      </c>
      <c r="J59" s="5" t="s">
        <v>302</v>
      </c>
      <c r="K59">
        <f>S213</f>
        <v>-147</v>
      </c>
      <c r="L59">
        <f>T213</f>
        <v>-393</v>
      </c>
      <c r="R59" s="5" t="s">
        <v>191</v>
      </c>
      <c r="S59">
        <f>S24+S25</f>
        <v>-3974</v>
      </c>
      <c r="T59">
        <f>T24+T25</f>
        <v>-5736</v>
      </c>
      <c r="U59">
        <f>U24+U25</f>
        <v>-3970</v>
      </c>
      <c r="Y59" t="s">
        <v>197</v>
      </c>
      <c r="AA59">
        <f t="shared" si="16"/>
        <v>-7054</v>
      </c>
      <c r="AB59">
        <f t="shared" si="16"/>
        <v>-3298</v>
      </c>
      <c r="AC59">
        <f t="shared" si="16"/>
        <v>-3852</v>
      </c>
    </row>
    <row r="60" spans="1:29" x14ac:dyDescent="0.3">
      <c r="B60" s="5" t="s">
        <v>536</v>
      </c>
      <c r="C60" t="s">
        <v>507</v>
      </c>
      <c r="D60" t="s">
        <v>296</v>
      </c>
      <c r="E60">
        <f>-(E35-D35)</f>
        <v>268.69818181818209</v>
      </c>
      <c r="F60">
        <f t="shared" ref="F60:G60" si="17">-(F35-E35)</f>
        <v>53.946640825431587</v>
      </c>
      <c r="G60">
        <f t="shared" si="17"/>
        <v>105.92537363479551</v>
      </c>
      <c r="J60" s="5" t="str">
        <f>R214</f>
        <v>Cash generated from operations</v>
      </c>
      <c r="K60">
        <f>S214</f>
        <v>2434</v>
      </c>
      <c r="L60">
        <f>T214</f>
        <v>1467</v>
      </c>
      <c r="R60" s="5" t="s">
        <v>189</v>
      </c>
      <c r="S60">
        <f>SUM(S58:S59)</f>
        <v>-266</v>
      </c>
      <c r="T60">
        <f>SUM(T58:T59)</f>
        <v>-511</v>
      </c>
      <c r="U60">
        <f>SUM(U58:U59)</f>
        <v>184</v>
      </c>
      <c r="Y60" t="s">
        <v>195</v>
      </c>
      <c r="AA60">
        <f>SUMIFS(AA$7:AA$55,$Y$7:$Y$55,"="&amp;$Y60)</f>
        <v>8626</v>
      </c>
      <c r="AB60">
        <f>SUMIFS(AB$7:AB$55,$Y$7:$Y$55,"="&amp;$Y60)</f>
        <v>7071</v>
      </c>
      <c r="AC60">
        <f>SUMIFS(AC$7:AC$55,$Y$7:$Y$55,"="&amp;$Y60)</f>
        <v>14715</v>
      </c>
    </row>
    <row r="61" spans="1:29" x14ac:dyDescent="0.3">
      <c r="B61" s="5" t="s">
        <v>532</v>
      </c>
      <c r="C61" t="s">
        <v>508</v>
      </c>
      <c r="D61" t="s">
        <v>296</v>
      </c>
      <c r="E61">
        <f>-E18</f>
        <v>268.68460000000005</v>
      </c>
      <c r="F61">
        <f>-F18</f>
        <v>269.78822450000001</v>
      </c>
      <c r="G61">
        <f>-G18</f>
        <v>273.29348544999999</v>
      </c>
      <c r="J61" s="5" t="s">
        <v>310</v>
      </c>
      <c r="K61">
        <f>S166+S167</f>
        <v>106</v>
      </c>
      <c r="L61">
        <f>T166+T167</f>
        <v>-410</v>
      </c>
      <c r="R61" s="5" t="s">
        <v>187</v>
      </c>
      <c r="S61">
        <f>S57+S60</f>
        <v>17712</v>
      </c>
      <c r="T61">
        <f>T57+T60</f>
        <v>20093</v>
      </c>
      <c r="U61">
        <f>U57+U60</f>
        <v>24901</v>
      </c>
      <c r="Y61" t="s">
        <v>45</v>
      </c>
      <c r="AA61">
        <f>-AA37-AA27+AA54</f>
        <v>-246</v>
      </c>
      <c r="AB61">
        <f>-AB37-AB27+AB54</f>
        <v>-134</v>
      </c>
      <c r="AC61">
        <f>-AC37-AC27+AC54</f>
        <v>-1287</v>
      </c>
    </row>
    <row r="62" spans="1:29" x14ac:dyDescent="0.3">
      <c r="D62">
        <f>S168</f>
        <v>2340</v>
      </c>
      <c r="E62">
        <f>SUM(E57:E61)</f>
        <v>2723.6039018181823</v>
      </c>
      <c r="F62">
        <f t="shared" ref="F62:G62" si="18">SUM(F57:F61)</f>
        <v>2538.0212980504316</v>
      </c>
      <c r="G62">
        <f t="shared" si="18"/>
        <v>2667.0085972347956</v>
      </c>
      <c r="K62">
        <f>SUM(K60:K61)</f>
        <v>2540</v>
      </c>
      <c r="L62">
        <f>SUM(L60:L61)</f>
        <v>1057</v>
      </c>
      <c r="R62" s="5" t="str">
        <f>R28</f>
        <v>Net operating assets</v>
      </c>
      <c r="S62">
        <f>S55+S61</f>
        <v>14607</v>
      </c>
      <c r="T62">
        <f>T55+T61</f>
        <v>16435</v>
      </c>
      <c r="U62">
        <f>U55+U61</f>
        <v>21262</v>
      </c>
      <c r="AA62">
        <f>SUM(AA58:AA61)-SUM(AA56:AA57)</f>
        <v>0</v>
      </c>
      <c r="AB62">
        <f>SUM(AB58:AB61)-SUM(AB56:AB57)</f>
        <v>0</v>
      </c>
      <c r="AC62">
        <f>SUM(AC58:AC61)-SUM(AC56:AC57)</f>
        <v>0</v>
      </c>
    </row>
    <row r="63" spans="1:29" x14ac:dyDescent="0.3">
      <c r="B63" s="5" t="s">
        <v>338</v>
      </c>
      <c r="J63" s="5" t="s">
        <v>114</v>
      </c>
      <c r="R63" s="5" t="s">
        <v>57</v>
      </c>
      <c r="S63">
        <f>S62-S28</f>
        <v>0</v>
      </c>
      <c r="T63">
        <f>T62-T28</f>
        <v>0</v>
      </c>
      <c r="U63">
        <f>U62-U28</f>
        <v>0</v>
      </c>
    </row>
    <row r="64" spans="1:29" x14ac:dyDescent="0.3">
      <c r="B64" s="5" t="s">
        <v>356</v>
      </c>
      <c r="D64" t="s">
        <v>296</v>
      </c>
      <c r="E64">
        <f>-1250*0.9</f>
        <v>-1125</v>
      </c>
      <c r="F64">
        <v>7.0000000000000007E-2</v>
      </c>
      <c r="G64">
        <v>7.4999999999999997E-2</v>
      </c>
      <c r="J64" s="5" t="s">
        <v>304</v>
      </c>
      <c r="K64">
        <f>S170+S172</f>
        <v>-1440</v>
      </c>
      <c r="L64">
        <f>T170+T172</f>
        <v>-2786</v>
      </c>
      <c r="X64" s="5" t="s">
        <v>190</v>
      </c>
    </row>
    <row r="65" spans="1:29" x14ac:dyDescent="0.3">
      <c r="B65" s="5" t="s">
        <v>318</v>
      </c>
      <c r="C65" t="s">
        <v>509</v>
      </c>
      <c r="D65" t="s">
        <v>296</v>
      </c>
      <c r="E65">
        <f>E64</f>
        <v>-1125</v>
      </c>
      <c r="F65">
        <f>-F64*E37</f>
        <v>-1249.1178000000002</v>
      </c>
      <c r="G65">
        <f>-G64*F37</f>
        <v>-1338.3405</v>
      </c>
      <c r="J65" s="5" t="s">
        <v>305</v>
      </c>
      <c r="K65">
        <f>S171+S173</f>
        <v>3779</v>
      </c>
      <c r="L65">
        <f>T171+T173</f>
        <v>87</v>
      </c>
      <c r="X65" s="5" t="s">
        <v>188</v>
      </c>
      <c r="AA65">
        <v>2334</v>
      </c>
      <c r="AB65">
        <v>2134</v>
      </c>
      <c r="AC65">
        <v>2261</v>
      </c>
    </row>
    <row r="66" spans="1:29" x14ac:dyDescent="0.3">
      <c r="B66" s="5" t="s">
        <v>537</v>
      </c>
      <c r="C66" t="s">
        <v>507</v>
      </c>
      <c r="D66" t="s">
        <v>296</v>
      </c>
      <c r="E66">
        <f>-(E36-D36)</f>
        <v>-803.36920000000009</v>
      </c>
      <c r="F66">
        <f>-(F36-E36)</f>
        <v>-2.2072489999999334</v>
      </c>
      <c r="G66">
        <f>-(G36-F36)</f>
        <v>-7.0105218999999579</v>
      </c>
      <c r="J66" s="5" t="s">
        <v>306</v>
      </c>
      <c r="K66">
        <f>S174+S165</f>
        <v>-160</v>
      </c>
      <c r="L66">
        <f>T174+T165</f>
        <v>236</v>
      </c>
      <c r="R66" s="5" t="s">
        <v>30</v>
      </c>
      <c r="S66">
        <f>S28+S32</f>
        <v>25000</v>
      </c>
      <c r="T66">
        <f t="shared" ref="T66:U66" si="19">T28+T32</f>
        <v>27134</v>
      </c>
      <c r="U66">
        <f t="shared" si="19"/>
        <v>30939</v>
      </c>
    </row>
    <row r="67" spans="1:29" x14ac:dyDescent="0.3">
      <c r="D67">
        <f>S175</f>
        <v>2379</v>
      </c>
      <c r="E67">
        <f>SUM(E65:E66)</f>
        <v>-1928.3692000000001</v>
      </c>
      <c r="F67">
        <f t="shared" ref="F67:G67" si="20">SUM(F65:F66)</f>
        <v>-1251.325049</v>
      </c>
      <c r="G67">
        <f t="shared" si="20"/>
        <v>-1345.3510219</v>
      </c>
      <c r="K67">
        <f>SUM(K64:K66)</f>
        <v>2179</v>
      </c>
      <c r="L67">
        <f>SUM(L64:L66)</f>
        <v>-2463</v>
      </c>
      <c r="X67" s="5" t="s">
        <v>186</v>
      </c>
    </row>
    <row r="68" spans="1:29" x14ac:dyDescent="0.3">
      <c r="B68" s="5" t="s">
        <v>98</v>
      </c>
      <c r="D68">
        <f>D62+D67</f>
        <v>4719</v>
      </c>
      <c r="E68">
        <f t="shared" ref="E68:G68" si="21">E62+E67</f>
        <v>795.2347018181822</v>
      </c>
      <c r="F68">
        <f t="shared" si="21"/>
        <v>1286.6962490504316</v>
      </c>
      <c r="G68">
        <f t="shared" si="21"/>
        <v>1321.6575753347956</v>
      </c>
      <c r="J68" s="5" t="s">
        <v>98</v>
      </c>
      <c r="K68">
        <f>K62+S175</f>
        <v>4919</v>
      </c>
      <c r="L68">
        <f>L62+T175</f>
        <v>-1533</v>
      </c>
      <c r="X68" s="5" t="s">
        <v>185</v>
      </c>
      <c r="AA68">
        <v>132</v>
      </c>
      <c r="AB68">
        <v>135</v>
      </c>
      <c r="AC68">
        <v>139</v>
      </c>
    </row>
    <row r="69" spans="1:29" x14ac:dyDescent="0.3">
      <c r="A69" t="s">
        <v>344</v>
      </c>
      <c r="B69" s="5" t="s">
        <v>538</v>
      </c>
      <c r="C69" t="s">
        <v>510</v>
      </c>
      <c r="D69" t="s">
        <v>296</v>
      </c>
      <c r="E69">
        <f>E39-D39</f>
        <v>-636.90827324675411</v>
      </c>
      <c r="F69">
        <f>F39-E39</f>
        <v>-838.38982817770375</v>
      </c>
      <c r="G69">
        <f>G39-F39</f>
        <v>-829.27993294163207</v>
      </c>
      <c r="J69" s="5" t="str">
        <f>R186</f>
        <v>Net change in financial assets</v>
      </c>
      <c r="K69">
        <f>S186</f>
        <v>-3556</v>
      </c>
      <c r="L69">
        <f>T186</f>
        <v>853</v>
      </c>
      <c r="X69" s="5" t="s">
        <v>184</v>
      </c>
      <c r="AA69">
        <v>150</v>
      </c>
      <c r="AB69">
        <v>149</v>
      </c>
      <c r="AC69">
        <v>0</v>
      </c>
    </row>
    <row r="70" spans="1:29" x14ac:dyDescent="0.3">
      <c r="B70" s="5" t="s">
        <v>523</v>
      </c>
      <c r="C70" t="s">
        <v>508</v>
      </c>
      <c r="D70" t="s">
        <v>296</v>
      </c>
      <c r="E70">
        <f>E23</f>
        <v>-404.755</v>
      </c>
      <c r="F70">
        <f>F23</f>
        <v>-391.30642087272724</v>
      </c>
      <c r="G70">
        <f>G23</f>
        <v>-356.37764239316567</v>
      </c>
      <c r="J70" s="5" t="str">
        <f>R192</f>
        <v>Net cash flow to debtholders</v>
      </c>
      <c r="K70">
        <f>S192</f>
        <v>-1173</v>
      </c>
      <c r="L70">
        <f>T192</f>
        <v>1136</v>
      </c>
      <c r="X70" s="5" t="s">
        <v>183</v>
      </c>
      <c r="AA70">
        <v>66</v>
      </c>
      <c r="AB70">
        <v>60</v>
      </c>
      <c r="AC70">
        <v>60</v>
      </c>
    </row>
    <row r="71" spans="1:29" x14ac:dyDescent="0.3">
      <c r="B71" s="5" t="s">
        <v>539</v>
      </c>
      <c r="C71" t="s">
        <v>511</v>
      </c>
      <c r="D71" t="s">
        <v>296</v>
      </c>
      <c r="E71">
        <f>E49</f>
        <v>0</v>
      </c>
      <c r="F71">
        <f t="shared" ref="F71:G71" si="22">F49</f>
        <v>-57</v>
      </c>
      <c r="G71">
        <f t="shared" si="22"/>
        <v>-136</v>
      </c>
      <c r="J71" s="5" t="str">
        <f>R197</f>
        <v>Net cash flow to ordinary shareholders</v>
      </c>
      <c r="K71">
        <f>S197</f>
        <v>1</v>
      </c>
      <c r="L71">
        <f>T197</f>
        <v>-899</v>
      </c>
      <c r="X71" s="5" t="s">
        <v>182</v>
      </c>
      <c r="AA71">
        <v>299</v>
      </c>
      <c r="AB71">
        <v>0</v>
      </c>
      <c r="AC71">
        <v>0</v>
      </c>
    </row>
    <row r="72" spans="1:29" x14ac:dyDescent="0.3">
      <c r="B72" s="5" t="s">
        <v>541</v>
      </c>
      <c r="C72" t="s">
        <v>542</v>
      </c>
      <c r="D72" t="s">
        <v>296</v>
      </c>
      <c r="E72">
        <f>(E41-D41)+E51</f>
        <v>246</v>
      </c>
      <c r="F72">
        <f>(F41-E41)+F51</f>
        <v>0</v>
      </c>
      <c r="G72">
        <f>(G41-F41)+G51</f>
        <v>0</v>
      </c>
      <c r="J72" s="5" t="s">
        <v>307</v>
      </c>
      <c r="K72">
        <f>S198+S200</f>
        <v>9</v>
      </c>
      <c r="L72">
        <f>T198+T200</f>
        <v>316</v>
      </c>
      <c r="X72" s="5" t="s">
        <v>181</v>
      </c>
      <c r="AA72">
        <v>211</v>
      </c>
      <c r="AB72">
        <v>205</v>
      </c>
      <c r="AC72">
        <v>197</v>
      </c>
    </row>
    <row r="73" spans="1:29" x14ac:dyDescent="0.3">
      <c r="B73" s="5" t="s">
        <v>317</v>
      </c>
      <c r="D73">
        <f>S201</f>
        <v>-4719</v>
      </c>
      <c r="E73">
        <f>SUM(E69:E72)</f>
        <v>-795.66327324675422</v>
      </c>
      <c r="F73">
        <f t="shared" ref="F73:G73" si="23">SUM(F69:F72)</f>
        <v>-1286.6962490504311</v>
      </c>
      <c r="G73">
        <f t="shared" si="23"/>
        <v>-1321.6575753347977</v>
      </c>
      <c r="J73" s="5" t="s">
        <v>308</v>
      </c>
      <c r="K73">
        <f>SUM(K69:K72)</f>
        <v>-4719</v>
      </c>
      <c r="L73">
        <f>SUM(L69:L72)</f>
        <v>1406</v>
      </c>
      <c r="X73" s="5" t="s">
        <v>180</v>
      </c>
      <c r="AA73">
        <v>349</v>
      </c>
      <c r="AB73">
        <v>349</v>
      </c>
      <c r="AC73">
        <v>0</v>
      </c>
    </row>
    <row r="74" spans="1:29" x14ac:dyDescent="0.3">
      <c r="B74" s="5" t="s">
        <v>57</v>
      </c>
      <c r="D74">
        <f>D68+D73</f>
        <v>0</v>
      </c>
      <c r="E74">
        <f>ROUND(E68+E73,0)</f>
        <v>0</v>
      </c>
      <c r="F74">
        <f t="shared" ref="F74:G74" si="24">ROUND(F68+F73,0)</f>
        <v>0</v>
      </c>
      <c r="G74">
        <f t="shared" si="24"/>
        <v>0</v>
      </c>
    </row>
    <row r="75" spans="1:29" x14ac:dyDescent="0.3">
      <c r="B75" s="5" t="s">
        <v>316</v>
      </c>
      <c r="X75" s="5" t="s">
        <v>288</v>
      </c>
    </row>
    <row r="76" spans="1:29" x14ac:dyDescent="0.3">
      <c r="B76" s="5" t="s">
        <v>15</v>
      </c>
      <c r="D76">
        <f>D21/D13</f>
        <v>1.6597074778692548E-2</v>
      </c>
      <c r="E76">
        <f>E21/E13</f>
        <v>1.7264873386863264E-2</v>
      </c>
      <c r="F76">
        <f>F21/F13</f>
        <v>1.78875233437959E-2</v>
      </c>
      <c r="G76">
        <f>G21/G13</f>
        <v>1.9002866761345261E-2</v>
      </c>
      <c r="J76" s="5" t="s">
        <v>265</v>
      </c>
      <c r="X76" s="5" t="s">
        <v>24</v>
      </c>
      <c r="AA76">
        <v>-7814</v>
      </c>
      <c r="AB76">
        <v>-9353</v>
      </c>
      <c r="AC76">
        <v>-9419</v>
      </c>
    </row>
    <row r="77" spans="1:29" x14ac:dyDescent="0.3">
      <c r="B77" s="5" t="s">
        <v>351</v>
      </c>
      <c r="D77">
        <f>D13/D38</f>
        <v>3.7265009926747448</v>
      </c>
      <c r="E77">
        <f>E13/E38</f>
        <v>3.5805013625474733</v>
      </c>
      <c r="F77">
        <f>F13/F38</f>
        <v>3.6076453222373317</v>
      </c>
      <c r="G77">
        <f>G13/G38</f>
        <v>3.656887905706109</v>
      </c>
      <c r="K77">
        <f>K2</f>
        <v>2016</v>
      </c>
      <c r="L77" t="str">
        <f>L2</f>
        <v>2015 (R)</v>
      </c>
      <c r="N77">
        <v>2015</v>
      </c>
      <c r="O77">
        <v>2014</v>
      </c>
      <c r="X77" s="5" t="s">
        <v>23</v>
      </c>
      <c r="AA77">
        <v>-2612</v>
      </c>
      <c r="AB77">
        <v>-3885</v>
      </c>
      <c r="AC77">
        <v>-2559</v>
      </c>
    </row>
    <row r="78" spans="1:29" x14ac:dyDescent="0.3">
      <c r="B78" s="5" t="s">
        <v>361</v>
      </c>
      <c r="D78">
        <f>K37</f>
        <v>2.7896713615023474</v>
      </c>
      <c r="E78">
        <f>E11/AVERAGE(D37:E37)</f>
        <v>2.9463220642645664</v>
      </c>
      <c r="F78">
        <f>F11/AVERAGE(E37:F37)</f>
        <v>2.9691686868924609</v>
      </c>
      <c r="G78">
        <f>G11/AVERAGE(F37:G37)</f>
        <v>3.0004083807474746</v>
      </c>
      <c r="J78" s="5" t="str">
        <f>R105</f>
        <v>Retail</v>
      </c>
    </row>
    <row r="79" spans="1:29" x14ac:dyDescent="0.3">
      <c r="B79" s="5" t="s">
        <v>352</v>
      </c>
      <c r="D79">
        <f>D39/D52</f>
        <v>0.7218514531754574</v>
      </c>
      <c r="E79">
        <f>E39/E52</f>
        <v>0.59354649838007323</v>
      </c>
      <c r="F79">
        <f>F39/F52</f>
        <v>0.46563538671919241</v>
      </c>
      <c r="G79">
        <f>G39/G52</f>
        <v>0.35579596928311968</v>
      </c>
      <c r="J79" s="5" t="str">
        <f>R106</f>
        <v>Revenue</v>
      </c>
    </row>
    <row r="80" spans="1:29" x14ac:dyDescent="0.3">
      <c r="B80" s="5" t="s">
        <v>17</v>
      </c>
      <c r="D80">
        <f>D25/D52</f>
        <v>1.604703154756976E-2</v>
      </c>
      <c r="E80">
        <f>E25/E52</f>
        <v>5.5531906510887796E-2</v>
      </c>
      <c r="F80">
        <f>F25/F52</f>
        <v>5.6234704668545812E-2</v>
      </c>
      <c r="G80">
        <f>G25/G52</f>
        <v>6.1889710597700542E-2</v>
      </c>
      <c r="J80" s="5" t="str">
        <f>X133</f>
        <v>UK &amp; ROI</v>
      </c>
      <c r="K80">
        <f>AA126/S$106</f>
        <v>0.80556490519465951</v>
      </c>
      <c r="L80">
        <f>AB126/T$106</f>
        <v>0.80499481939333306</v>
      </c>
      <c r="N80">
        <v>0.45667474035279049</v>
      </c>
      <c r="O80">
        <v>0.45923635315390865</v>
      </c>
      <c r="R80" s="5" t="s">
        <v>178</v>
      </c>
      <c r="X80" s="5" t="s">
        <v>179</v>
      </c>
      <c r="AA80" t="s">
        <v>25</v>
      </c>
    </row>
    <row r="81" spans="2:29" x14ac:dyDescent="0.3">
      <c r="J81" s="5" t="str">
        <f>X134</f>
        <v>International*</v>
      </c>
      <c r="K81">
        <f>AA127/S$106</f>
        <v>0.19443509480534052</v>
      </c>
      <c r="L81">
        <f>AB127/T$106</f>
        <v>0.19500518060666691</v>
      </c>
      <c r="N81">
        <v>0.54332525964720957</v>
      </c>
      <c r="O81">
        <v>0.54076364684609135</v>
      </c>
      <c r="S81">
        <f>AA81</f>
        <v>2016</v>
      </c>
      <c r="T81" t="str">
        <f>AB81</f>
        <v>2015(R)</v>
      </c>
      <c r="U81">
        <f>AC81</f>
        <v>2014</v>
      </c>
      <c r="AA81">
        <f>AA2</f>
        <v>2016</v>
      </c>
      <c r="AB81" t="str">
        <f>AB2&amp;"(R)"</f>
        <v>2015(R)</v>
      </c>
      <c r="AC81">
        <f>AC2</f>
        <v>2014</v>
      </c>
    </row>
    <row r="82" spans="2:29" x14ac:dyDescent="0.3">
      <c r="B82" s="5" t="s">
        <v>355</v>
      </c>
      <c r="K82">
        <f>S106/S$106</f>
        <v>1</v>
      </c>
      <c r="L82">
        <f>T106/T$106</f>
        <v>1</v>
      </c>
      <c r="N82">
        <v>1</v>
      </c>
      <c r="O82">
        <v>1</v>
      </c>
      <c r="R82" s="5" t="s">
        <v>154</v>
      </c>
      <c r="S82" t="s">
        <v>153</v>
      </c>
      <c r="T82" t="s">
        <v>153</v>
      </c>
      <c r="U82" t="s">
        <v>153</v>
      </c>
      <c r="X82" s="5" t="s">
        <v>154</v>
      </c>
      <c r="Z82" t="s">
        <v>177</v>
      </c>
      <c r="AA82" t="str">
        <f>AA5</f>
        <v>£ m</v>
      </c>
      <c r="AB82" t="str">
        <f>AB5</f>
        <v>£ m</v>
      </c>
      <c r="AC82" t="str">
        <f>AC5</f>
        <v>£ m</v>
      </c>
    </row>
    <row r="83" spans="2:29" x14ac:dyDescent="0.3">
      <c r="B83" s="5" t="s">
        <v>354</v>
      </c>
      <c r="J83" s="5" t="str">
        <f>R108</f>
        <v>Gross profit</v>
      </c>
      <c r="K83">
        <f>S108/S$106</f>
        <v>0.22925315082837802</v>
      </c>
      <c r="L83">
        <f>T108/T$106</f>
        <v>0.2179248990674908</v>
      </c>
      <c r="N83" t="s">
        <v>296</v>
      </c>
      <c r="O83" t="s">
        <v>296</v>
      </c>
      <c r="R83" s="5" t="str">
        <f>X83</f>
        <v>Revenue (sales excluding VAT)</v>
      </c>
      <c r="S83">
        <f t="shared" ref="S83:U84" si="25">AA83</f>
        <v>54433</v>
      </c>
      <c r="T83">
        <f t="shared" si="25"/>
        <v>56925</v>
      </c>
      <c r="U83">
        <f t="shared" si="25"/>
        <v>63557</v>
      </c>
      <c r="X83" s="5" t="s">
        <v>176</v>
      </c>
      <c r="Z83">
        <v>2</v>
      </c>
      <c r="AA83">
        <v>54433</v>
      </c>
      <c r="AB83">
        <v>56925</v>
      </c>
      <c r="AC83">
        <v>63557</v>
      </c>
    </row>
    <row r="84" spans="2:29" x14ac:dyDescent="0.3">
      <c r="B84" s="5" t="s">
        <v>345</v>
      </c>
      <c r="J84" s="5" t="str">
        <f>R110</f>
        <v>Operating profit: Retail (recurring)</v>
      </c>
      <c r="K84">
        <f>S110/S$106</f>
        <v>1.4361045663637384E-2</v>
      </c>
      <c r="L84">
        <f>T110/T$106</f>
        <v>1.4291328736289256E-2</v>
      </c>
      <c r="N84" t="s">
        <v>296</v>
      </c>
      <c r="O84" t="s">
        <v>296</v>
      </c>
      <c r="R84" s="5" t="str">
        <f>X84</f>
        <v>Cost of Sales</v>
      </c>
      <c r="S84">
        <f t="shared" si="25"/>
        <v>-51579</v>
      </c>
      <c r="T84">
        <f t="shared" si="25"/>
        <v>-59128</v>
      </c>
      <c r="U84">
        <f t="shared" si="25"/>
        <v>-59547</v>
      </c>
      <c r="X84" s="5" t="s">
        <v>175</v>
      </c>
      <c r="AA84">
        <f>-51579</f>
        <v>-51579</v>
      </c>
      <c r="AB84">
        <v>-59128</v>
      </c>
      <c r="AC84">
        <v>-59547</v>
      </c>
    </row>
    <row r="85" spans="2:29" x14ac:dyDescent="0.3">
      <c r="J85" s="5" t="str">
        <f>R111</f>
        <v>Financial services</v>
      </c>
      <c r="R85" s="5" t="s">
        <v>151</v>
      </c>
      <c r="S85">
        <f>SUM(S83:S84)</f>
        <v>2854</v>
      </c>
      <c r="T85">
        <f>SUM(T83:T84)</f>
        <v>-2203</v>
      </c>
      <c r="U85">
        <f>SUM(U83:U84)</f>
        <v>4010</v>
      </c>
      <c r="X85" s="5" t="s">
        <v>151</v>
      </c>
      <c r="AA85">
        <f>SUM(AA83:AA84)</f>
        <v>2854</v>
      </c>
      <c r="AB85">
        <f>SUM(AB83:AB84)</f>
        <v>-2203</v>
      </c>
      <c r="AC85">
        <f>SUM(AC83:AC84)</f>
        <v>4010</v>
      </c>
    </row>
    <row r="86" spans="2:29" x14ac:dyDescent="0.3">
      <c r="J86" s="5" t="str">
        <f>R112</f>
        <v>Revenue</v>
      </c>
      <c r="K86">
        <f>S112/S$112</f>
        <v>1</v>
      </c>
      <c r="L86">
        <f>T112/T$112</f>
        <v>1</v>
      </c>
      <c r="N86" t="s">
        <v>296</v>
      </c>
      <c r="O86" t="s">
        <v>296</v>
      </c>
      <c r="R86" s="5" t="s">
        <v>172</v>
      </c>
      <c r="X86" s="5" t="s">
        <v>174</v>
      </c>
      <c r="Y86" t="s">
        <v>173</v>
      </c>
      <c r="AA86">
        <f>-1852</f>
        <v>-1852</v>
      </c>
      <c r="AB86">
        <v>-2574</v>
      </c>
      <c r="AC86">
        <v>-1657</v>
      </c>
    </row>
    <row r="87" spans="2:29" x14ac:dyDescent="0.3">
      <c r="J87" s="5" t="str">
        <f>R114</f>
        <v>Operating profit: financial services</v>
      </c>
      <c r="K87">
        <f>S114/S$112</f>
        <v>0.16963350785340314</v>
      </c>
      <c r="L87">
        <f>T114/T$112</f>
        <v>0.19852164730728616</v>
      </c>
      <c r="N87" t="s">
        <v>296</v>
      </c>
      <c r="O87" t="s">
        <v>296</v>
      </c>
      <c r="R87" s="5" t="str">
        <f>X86</f>
        <v>Admin. expenses</v>
      </c>
      <c r="S87">
        <f>AA86</f>
        <v>-1852</v>
      </c>
      <c r="T87">
        <f>AB86</f>
        <v>-2574</v>
      </c>
      <c r="U87">
        <f>AC86</f>
        <v>-1657</v>
      </c>
      <c r="X87" s="5" t="s">
        <v>171</v>
      </c>
      <c r="Y87" t="s">
        <v>169</v>
      </c>
      <c r="AA87">
        <f>44</f>
        <v>44</v>
      </c>
      <c r="AB87">
        <v>-973</v>
      </c>
      <c r="AC87">
        <v>278</v>
      </c>
    </row>
    <row r="88" spans="2:29" x14ac:dyDescent="0.3">
      <c r="J88" s="5" t="str">
        <f>R115</f>
        <v>Operating profit from sales, before tax</v>
      </c>
      <c r="K88">
        <f>S115/AA$83</f>
        <v>1.7085224036889387E-2</v>
      </c>
      <c r="L88">
        <f>T115/AB$83</f>
        <v>1.7356170399648662E-2</v>
      </c>
      <c r="N88">
        <v>3.1E-2</v>
      </c>
      <c r="O88">
        <v>3.1E-2</v>
      </c>
      <c r="R88" s="5" t="s">
        <v>145</v>
      </c>
      <c r="S88">
        <f>SUM(S85:S87)</f>
        <v>1002</v>
      </c>
      <c r="T88">
        <f>SUM(T85:T87)</f>
        <v>-4777</v>
      </c>
      <c r="U88">
        <f>SUM(U85:U87)</f>
        <v>2353</v>
      </c>
      <c r="X88" s="5" t="s">
        <v>39</v>
      </c>
      <c r="AA88">
        <f>SUM(AA85:AA87)</f>
        <v>1046</v>
      </c>
      <c r="AB88">
        <f>SUM(AB85:AB87)</f>
        <v>-5750</v>
      </c>
      <c r="AC88">
        <f>SUM(AC85:AC87)</f>
        <v>2631</v>
      </c>
    </row>
    <row r="89" spans="2:29" x14ac:dyDescent="0.3">
      <c r="J89" s="5" t="str">
        <f>R117</f>
        <v>Operating profit from sales, after tax</v>
      </c>
      <c r="K89">
        <f>S117/AA$83</f>
        <v>1.6589201403560339E-2</v>
      </c>
      <c r="L89">
        <f>T117/AB$83</f>
        <v>1.5985946420729029E-2</v>
      </c>
      <c r="N89">
        <v>2.0226485917546951E-2</v>
      </c>
      <c r="O89">
        <v>2.0231138132550643E-2</v>
      </c>
      <c r="R89" s="5" t="s">
        <v>143</v>
      </c>
      <c r="S89">
        <f>ROUND(-S88*S99,0)</f>
        <v>334</v>
      </c>
      <c r="T89">
        <f>ROUND(-T88*T99,0)</f>
        <v>505</v>
      </c>
      <c r="U89">
        <f>ROUND(-U88*U99,0)</f>
        <v>-361</v>
      </c>
      <c r="X89" s="5" t="s">
        <v>170</v>
      </c>
      <c r="Y89" t="s">
        <v>169</v>
      </c>
      <c r="Z89">
        <v>13</v>
      </c>
      <c r="AA89">
        <v>-21</v>
      </c>
      <c r="AB89">
        <v>-13</v>
      </c>
      <c r="AC89">
        <v>60</v>
      </c>
    </row>
    <row r="90" spans="2:29" x14ac:dyDescent="0.3">
      <c r="J90" s="5" t="str">
        <f>R118</f>
        <v>Op. gains (loss) unrelated to sales, after tax</v>
      </c>
      <c r="K90">
        <f>SUM(S119:S121)/AA$83</f>
        <v>7.7159076295629488E-4</v>
      </c>
      <c r="L90">
        <f>SUM(T119:T121)/AB$83</f>
        <v>-0.10626262626262627</v>
      </c>
      <c r="N90">
        <v>-1.7626843526890447E-3</v>
      </c>
      <c r="O90">
        <v>1.5592651799051338E-3</v>
      </c>
      <c r="R90" s="5" t="s">
        <v>141</v>
      </c>
      <c r="S90">
        <f>SUM(S88,S89)</f>
        <v>1336</v>
      </c>
      <c r="T90">
        <f>SUM(T88,T89)</f>
        <v>-4272</v>
      </c>
      <c r="U90">
        <f>SUM(U88,U89)</f>
        <v>1992</v>
      </c>
      <c r="X90" s="5" t="s">
        <v>168</v>
      </c>
      <c r="Y90" t="s">
        <v>166</v>
      </c>
      <c r="Z90">
        <v>5</v>
      </c>
      <c r="AA90">
        <v>29</v>
      </c>
      <c r="AB90">
        <v>80</v>
      </c>
      <c r="AC90">
        <v>132</v>
      </c>
    </row>
    <row r="91" spans="2:29" x14ac:dyDescent="0.3">
      <c r="J91" s="5" t="str">
        <f>R122</f>
        <v>Net operating profit (NOP)</v>
      </c>
      <c r="K91">
        <f>S122/AA$83</f>
        <v>1.7360792166516634E-2</v>
      </c>
      <c r="L91">
        <f>T122/AB$83</f>
        <v>-9.0276679841897231E-2</v>
      </c>
      <c r="N91">
        <v>1.8463801564857909E-2</v>
      </c>
      <c r="O91">
        <v>2.1790403312455776E-2</v>
      </c>
      <c r="R91" s="5" t="s">
        <v>140</v>
      </c>
      <c r="X91" s="5" t="s">
        <v>167</v>
      </c>
      <c r="Y91" t="s">
        <v>166</v>
      </c>
      <c r="Z91">
        <v>5</v>
      </c>
      <c r="AA91">
        <f>-892</f>
        <v>-892</v>
      </c>
      <c r="AB91">
        <v>-651</v>
      </c>
      <c r="AC91">
        <v>-564</v>
      </c>
    </row>
    <row r="92" spans="2:29" x14ac:dyDescent="0.3">
      <c r="J92" s="5" t="str">
        <f>R123</f>
        <v>Net finance cost (rec. &amp; non-rec.), after tax</v>
      </c>
      <c r="K92">
        <f>S123/AA$83</f>
        <v>-1.3392611099884261E-2</v>
      </c>
      <c r="L92">
        <f>T123/AB$83</f>
        <v>-9.2402283706631526E-3</v>
      </c>
      <c r="N92">
        <v>-4.2608772841979782E-3</v>
      </c>
      <c r="O92">
        <v>-4.7564139521475927E-3</v>
      </c>
      <c r="R92" s="5" t="str">
        <f>X87&amp;", a.t."</f>
        <v>Property-related profit, a.t.</v>
      </c>
      <c r="S92">
        <f>ROUND(AA87*(1-S99),0)</f>
        <v>59</v>
      </c>
      <c r="T92">
        <f>ROUND(AB87*(1-T99),0)</f>
        <v>-870</v>
      </c>
      <c r="U92">
        <f>ROUND(AC87*(1-U99),0)</f>
        <v>235</v>
      </c>
      <c r="X92" s="5" t="s">
        <v>165</v>
      </c>
      <c r="AA92">
        <f>SUM(AA88:AA91)</f>
        <v>162</v>
      </c>
      <c r="AB92">
        <f>SUM(AB88:AB91)</f>
        <v>-6334</v>
      </c>
      <c r="AC92">
        <f>SUM(AC88:AC91)</f>
        <v>2259</v>
      </c>
    </row>
    <row r="93" spans="2:29" x14ac:dyDescent="0.3">
      <c r="J93" s="5" t="str">
        <f>R125</f>
        <v>Net profit from cont. op, attr. to O/S</v>
      </c>
      <c r="K93">
        <f>S125/AA$83</f>
        <v>4.1335219444087225E-3</v>
      </c>
      <c r="L93">
        <f>T125/AB$83</f>
        <v>-9.9077733860342562E-2</v>
      </c>
      <c r="N93">
        <v>1.2389515198397099E-2</v>
      </c>
      <c r="O93">
        <v>1.548782724914175E-2</v>
      </c>
      <c r="R93" s="5" t="str">
        <f>X89&amp;", a.t."</f>
        <v>Share of profits (losses) of J.V. &amp; assoc't, a.t.</v>
      </c>
      <c r="S93">
        <f>ROUND(AA89*(1-S99),0)</f>
        <v>-28</v>
      </c>
      <c r="T93">
        <f>ROUND(AB89*(1-T99),0)</f>
        <v>-12</v>
      </c>
      <c r="U93">
        <f>ROUND(AC89*(1-U99),0)</f>
        <v>51</v>
      </c>
      <c r="X93" s="5" t="s">
        <v>126</v>
      </c>
      <c r="Y93" t="s">
        <v>164</v>
      </c>
      <c r="Z93">
        <v>6</v>
      </c>
      <c r="AA93">
        <f>54</f>
        <v>54</v>
      </c>
      <c r="AB93">
        <v>670</v>
      </c>
      <c r="AC93">
        <v>-347</v>
      </c>
    </row>
    <row r="94" spans="2:29" x14ac:dyDescent="0.3">
      <c r="R94" s="5" t="s">
        <v>136</v>
      </c>
      <c r="S94">
        <f>SUM(S90:S93)</f>
        <v>1367</v>
      </c>
      <c r="T94">
        <f>SUM(T90:T93)</f>
        <v>-5154</v>
      </c>
      <c r="U94">
        <f>SUM(U90:U93)</f>
        <v>2278</v>
      </c>
      <c r="X94" s="5" t="s">
        <v>163</v>
      </c>
      <c r="AA94">
        <f>SUM(AA92:AA93)</f>
        <v>216</v>
      </c>
      <c r="AB94">
        <f>SUM(AB92:AB93)</f>
        <v>-5664</v>
      </c>
      <c r="AC94">
        <f>SUM(AC92:AC93)</f>
        <v>1912</v>
      </c>
    </row>
    <row r="95" spans="2:29" x14ac:dyDescent="0.3">
      <c r="J95" s="5" t="str">
        <f>R134</f>
        <v>EBITDA (recurring)</v>
      </c>
      <c r="K95">
        <f>S134/AA$83</f>
        <v>4.372347656752338E-2</v>
      </c>
      <c r="L95">
        <f>T134/AB$83</f>
        <v>0.12611330698287221</v>
      </c>
      <c r="N95">
        <v>4.6945737220538443E-2</v>
      </c>
      <c r="O95">
        <v>5.1796430724075582E-2</v>
      </c>
      <c r="R95" s="5" t="s">
        <v>43</v>
      </c>
      <c r="S95">
        <f>ROUND((AA90+AA91)*(1-S99),0)</f>
        <v>-1151</v>
      </c>
      <c r="T95">
        <f>ROUND((AB90+AB91)*(1-T99),0)</f>
        <v>-511</v>
      </c>
      <c r="U95">
        <f>ROUND((AC90+AC91)*(1-U99),0)</f>
        <v>-366</v>
      </c>
      <c r="X95" s="5" t="s">
        <v>162</v>
      </c>
      <c r="Y95" t="s">
        <v>161</v>
      </c>
      <c r="Z95">
        <v>7</v>
      </c>
      <c r="AA95">
        <v>-87</v>
      </c>
      <c r="AB95">
        <v>-102</v>
      </c>
      <c r="AC95">
        <v>-942</v>
      </c>
    </row>
    <row r="96" spans="2:29" x14ac:dyDescent="0.3">
      <c r="J96" s="5" t="str">
        <f>R136</f>
        <v>EBITDAS (recurring)</v>
      </c>
      <c r="K96">
        <f>S136/AA$83</f>
        <v>4.9014384656366546E-2</v>
      </c>
      <c r="L96">
        <f>T136/AB$83</f>
        <v>0.12822134387351777</v>
      </c>
      <c r="R96" s="5" t="s">
        <v>348</v>
      </c>
      <c r="S96">
        <f>-AA98</f>
        <v>9</v>
      </c>
      <c r="T96">
        <f>-AB98</f>
        <v>25</v>
      </c>
      <c r="U96">
        <f>-AC98</f>
        <v>4</v>
      </c>
      <c r="X96" s="5" t="s">
        <v>160</v>
      </c>
      <c r="AA96">
        <f>AA94+AA95</f>
        <v>129</v>
      </c>
      <c r="AB96">
        <f>AB94+AB95</f>
        <v>-5766</v>
      </c>
      <c r="AC96">
        <f>AC94+AC95</f>
        <v>970</v>
      </c>
    </row>
    <row r="97" spans="10:29" x14ac:dyDescent="0.3">
      <c r="R97" s="5" t="s">
        <v>131</v>
      </c>
      <c r="S97">
        <f>SUM(S94:S96)</f>
        <v>225</v>
      </c>
      <c r="T97">
        <f>SUM(T94:T96)</f>
        <v>-5640</v>
      </c>
      <c r="U97">
        <f>SUM(U94:U96)</f>
        <v>1916</v>
      </c>
      <c r="X97" s="5" t="s">
        <v>159</v>
      </c>
    </row>
    <row r="98" spans="10:29" x14ac:dyDescent="0.3">
      <c r="J98" s="5" t="s">
        <v>275</v>
      </c>
      <c r="K98">
        <f>K2</f>
        <v>2016</v>
      </c>
      <c r="L98" t="str">
        <f>L2</f>
        <v>2015 (R)</v>
      </c>
      <c r="R98" s="5" t="s">
        <v>57</v>
      </c>
      <c r="S98">
        <f>AA99-AA95-S97</f>
        <v>0</v>
      </c>
      <c r="T98">
        <f>AB99-AB95-T97</f>
        <v>1</v>
      </c>
      <c r="U98">
        <f>AC99-AC95-U97</f>
        <v>0</v>
      </c>
      <c r="X98" s="5" t="s">
        <v>133</v>
      </c>
      <c r="Y98" t="s">
        <v>158</v>
      </c>
      <c r="AA98">
        <v>-9</v>
      </c>
      <c r="AB98">
        <v>-25</v>
      </c>
      <c r="AC98">
        <v>-4</v>
      </c>
    </row>
    <row r="99" spans="10:29" x14ac:dyDescent="0.3">
      <c r="J99" s="5" t="str">
        <f>J78</f>
        <v>Retail</v>
      </c>
      <c r="R99" s="5" t="s">
        <v>156</v>
      </c>
      <c r="S99">
        <f>-AA93/AA92</f>
        <v>-0.33333333333333331</v>
      </c>
      <c r="T99">
        <f>-AB93/AB92</f>
        <v>0.10577833912219767</v>
      </c>
      <c r="U99">
        <f>-AC93/AC92</f>
        <v>0.15360779105799027</v>
      </c>
      <c r="X99" s="5" t="s">
        <v>157</v>
      </c>
      <c r="AA99">
        <f>AA96-AA98</f>
        <v>138</v>
      </c>
      <c r="AB99">
        <f>AB96-AB98</f>
        <v>-5741</v>
      </c>
      <c r="AC99">
        <v>974</v>
      </c>
    </row>
    <row r="100" spans="10:29" x14ac:dyDescent="0.3">
      <c r="J100" s="5" t="str">
        <f>J79</f>
        <v>Revenue</v>
      </c>
    </row>
    <row r="101" spans="10:29" x14ac:dyDescent="0.3">
      <c r="J101" s="5" t="str">
        <f>X126</f>
        <v>UK &amp; ROI</v>
      </c>
      <c r="K101">
        <f>AA126/AB126-1</f>
        <v>-4.3983844480937395E-2</v>
      </c>
      <c r="L101">
        <f>AB126/AC126-1</f>
        <v>4.6566179715261224E-2</v>
      </c>
    </row>
    <row r="102" spans="10:29" x14ac:dyDescent="0.3">
      <c r="J102" s="5" t="str">
        <f>X127</f>
        <v>International*</v>
      </c>
      <c r="K102">
        <f>AA127/AB127-1</f>
        <v>-4.7453279589593222E-2</v>
      </c>
      <c r="L102">
        <f>AB127/AC127-1</f>
        <v>-0.44011899266553833</v>
      </c>
      <c r="R102" s="5" t="s">
        <v>155</v>
      </c>
      <c r="X102" s="5" t="s">
        <v>144</v>
      </c>
    </row>
    <row r="103" spans="10:29" x14ac:dyDescent="0.3">
      <c r="J103" s="5" t="str">
        <f>X128</f>
        <v>Retail - total</v>
      </c>
      <c r="K103">
        <f>S106/T106-1</f>
        <v>-4.4660402300903956E-2</v>
      </c>
      <c r="L103">
        <f>T106/U106-1</f>
        <v>-0.10512517185152026</v>
      </c>
      <c r="S103" t="str">
        <f>AA81&amp;""</f>
        <v>2016</v>
      </c>
      <c r="T103" t="str">
        <f>AB81&amp;""</f>
        <v>2015(R)</v>
      </c>
      <c r="U103" t="str">
        <f>AC81&amp;""</f>
        <v>2014</v>
      </c>
      <c r="AA103" t="s">
        <v>142</v>
      </c>
      <c r="AC103" t="s">
        <v>263</v>
      </c>
    </row>
    <row r="104" spans="10:29" x14ac:dyDescent="0.3">
      <c r="J104" s="5" t="str">
        <f>J84</f>
        <v>Operating profit: Retail (recurring)</v>
      </c>
      <c r="K104">
        <f>S110/T110-1</f>
        <v>-4.0000000000000036E-2</v>
      </c>
      <c r="L104">
        <f>T110/U110-1</f>
        <v>-0.62945808244557666</v>
      </c>
      <c r="R104" s="5" t="s">
        <v>154</v>
      </c>
      <c r="S104" t="s">
        <v>153</v>
      </c>
      <c r="T104" t="s">
        <v>153</v>
      </c>
      <c r="U104" t="s">
        <v>153</v>
      </c>
      <c r="X104" s="5" t="s">
        <v>132</v>
      </c>
      <c r="AA104">
        <v>-51629</v>
      </c>
      <c r="AB104">
        <v>-54247</v>
      </c>
      <c r="AC104">
        <f>AC84</f>
        <v>-59547</v>
      </c>
    </row>
    <row r="105" spans="10:29" x14ac:dyDescent="0.3">
      <c r="J105" s="5" t="str">
        <f>X129</f>
        <v>Financial services</v>
      </c>
      <c r="R105" s="5" t="s">
        <v>266</v>
      </c>
      <c r="X105" s="5" t="s">
        <v>130</v>
      </c>
      <c r="AA105">
        <v>-1874</v>
      </c>
      <c r="AB105">
        <v>-1690</v>
      </c>
      <c r="AC105">
        <f>AC86</f>
        <v>-1657</v>
      </c>
    </row>
    <row r="106" spans="10:29" x14ac:dyDescent="0.3">
      <c r="J106" s="5" t="str">
        <f>R112</f>
        <v>Revenue</v>
      </c>
      <c r="K106">
        <f>S112/T112-1</f>
        <v>8.4477296726503948E-3</v>
      </c>
      <c r="L106">
        <f>T112/U112-1</f>
        <v>-5.5832502492522473E-2</v>
      </c>
      <c r="R106" s="5" t="s">
        <v>150</v>
      </c>
      <c r="S106">
        <f>AA128</f>
        <v>53478</v>
      </c>
      <c r="T106">
        <f>AB128</f>
        <v>55978</v>
      </c>
      <c r="U106">
        <f>AC128</f>
        <v>62554</v>
      </c>
      <c r="X106" s="5" t="s">
        <v>129</v>
      </c>
      <c r="AA106">
        <v>14</v>
      </c>
      <c r="AB106">
        <v>-48</v>
      </c>
      <c r="AC106">
        <v>278</v>
      </c>
    </row>
    <row r="107" spans="10:29" x14ac:dyDescent="0.3">
      <c r="J107" s="5" t="str">
        <f>R114</f>
        <v>Operating profit: financial services</v>
      </c>
      <c r="K107">
        <f>S114/T114-1</f>
        <v>-0.13829787234042556</v>
      </c>
      <c r="L107">
        <f>T114/U114-1</f>
        <v>-3.0927835051546393E-2</v>
      </c>
      <c r="R107" s="5" t="s">
        <v>152</v>
      </c>
      <c r="S107">
        <f>-(AA149+AA150-AA151)</f>
        <v>-41218</v>
      </c>
      <c r="T107">
        <f>-(AB149+AB150-AB151)</f>
        <v>-43779</v>
      </c>
      <c r="U107">
        <f>-(AC149+AC150-AC151)</f>
        <v>-48148</v>
      </c>
      <c r="X107" s="5" t="s">
        <v>138</v>
      </c>
      <c r="AA107">
        <f>-672+29</f>
        <v>-643</v>
      </c>
      <c r="AB107">
        <f>-651+80</f>
        <v>-571</v>
      </c>
      <c r="AC107">
        <f>AC90+AC91</f>
        <v>-432</v>
      </c>
    </row>
    <row r="108" spans="10:29" x14ac:dyDescent="0.3">
      <c r="J108" s="5" t="str">
        <f>R117</f>
        <v>Operating profit from sales, after tax</v>
      </c>
      <c r="K108">
        <f>S117/T117-1</f>
        <v>-7.692307692307665E-3</v>
      </c>
      <c r="L108">
        <f>T117/U117-1</f>
        <v>-0.54317269076305219</v>
      </c>
      <c r="R108" s="5" t="s">
        <v>151</v>
      </c>
      <c r="S108">
        <f>SUM(S106:S107)</f>
        <v>12260</v>
      </c>
      <c r="T108">
        <f>SUM(T106:T107)</f>
        <v>12199</v>
      </c>
      <c r="U108">
        <f>SUM(U106:U107)</f>
        <v>14406</v>
      </c>
      <c r="X108" s="5" t="s">
        <v>127</v>
      </c>
      <c r="AA108">
        <f>AA92-AA115</f>
        <v>280</v>
      </c>
      <c r="AB108">
        <v>356</v>
      </c>
      <c r="AC108">
        <f>AC92</f>
        <v>2259</v>
      </c>
    </row>
    <row r="109" spans="10:29" x14ac:dyDescent="0.3">
      <c r="J109" s="5" t="str">
        <f>R122</f>
        <v>Net operating profit (NOP)</v>
      </c>
      <c r="K109">
        <f>S122/T122</f>
        <v>-0.18388791593695272</v>
      </c>
      <c r="L109">
        <f>T122/U122</f>
        <v>-2.255926251097454</v>
      </c>
      <c r="R109" s="5" t="s">
        <v>271</v>
      </c>
      <c r="S109">
        <f>AA104+AA105-S107-S113</f>
        <v>-11492</v>
      </c>
      <c r="T109">
        <f>AB104+AB105-T107-T113</f>
        <v>-11399</v>
      </c>
      <c r="U109">
        <f>AC104+AC105-U107-U113</f>
        <v>-12247</v>
      </c>
      <c r="X109" s="5" t="s">
        <v>126</v>
      </c>
      <c r="AA109">
        <f>AA93-AA116</f>
        <v>-8</v>
      </c>
      <c r="AB109">
        <v>-28</v>
      </c>
      <c r="AC109">
        <f>AC93</f>
        <v>-347</v>
      </c>
    </row>
    <row r="110" spans="10:29" x14ac:dyDescent="0.3">
      <c r="J110" s="5" t="str">
        <f>R134</f>
        <v>EBITDA (recurring)</v>
      </c>
      <c r="K110">
        <f>S134/T134-1</f>
        <v>-0.6684775038306171</v>
      </c>
      <c r="L110">
        <f>T134/U134-1</f>
        <v>0.55456907752273721</v>
      </c>
      <c r="R110" s="5" t="s">
        <v>272</v>
      </c>
      <c r="S110">
        <f>SUM(S108:S109)</f>
        <v>768</v>
      </c>
      <c r="T110">
        <f>SUM(T108:T109)</f>
        <v>800</v>
      </c>
      <c r="U110">
        <f>SUM(U108:U109)</f>
        <v>2159</v>
      </c>
      <c r="AA110" t="s">
        <v>134</v>
      </c>
    </row>
    <row r="111" spans="10:29" x14ac:dyDescent="0.3">
      <c r="R111" s="5" t="s">
        <v>49</v>
      </c>
      <c r="X111" s="5" t="s">
        <v>132</v>
      </c>
      <c r="AA111">
        <v>50</v>
      </c>
      <c r="AB111">
        <v>-4881</v>
      </c>
    </row>
    <row r="112" spans="10:29" x14ac:dyDescent="0.3">
      <c r="J112" s="5" t="s">
        <v>281</v>
      </c>
      <c r="K112">
        <f>K2</f>
        <v>2016</v>
      </c>
      <c r="L112" t="str">
        <f>L2</f>
        <v>2015 (R)</v>
      </c>
      <c r="R112" s="5" t="s">
        <v>150</v>
      </c>
      <c r="S112">
        <f>AA129</f>
        <v>955</v>
      </c>
      <c r="T112">
        <f>AB129</f>
        <v>947</v>
      </c>
      <c r="U112">
        <f>AC129</f>
        <v>1003</v>
      </c>
      <c r="X112" s="5" t="s">
        <v>130</v>
      </c>
      <c r="AA112">
        <v>22</v>
      </c>
      <c r="AB112">
        <v>-884</v>
      </c>
    </row>
    <row r="113" spans="10:29" x14ac:dyDescent="0.3">
      <c r="J113" s="5" t="str">
        <f t="shared" ref="J113:J118" si="26">X124</f>
        <v>Revenues by business segments</v>
      </c>
      <c r="R113" s="5" t="s">
        <v>595</v>
      </c>
      <c r="S113">
        <f>S114-S112</f>
        <v>-793</v>
      </c>
      <c r="T113">
        <f>T114-T112</f>
        <v>-759</v>
      </c>
      <c r="U113">
        <f>U114-U112</f>
        <v>-809</v>
      </c>
      <c r="X113" s="5" t="s">
        <v>129</v>
      </c>
      <c r="AA113">
        <v>30</v>
      </c>
      <c r="AB113">
        <v>-925</v>
      </c>
    </row>
    <row r="114" spans="10:29" x14ac:dyDescent="0.3">
      <c r="J114" s="5" t="str">
        <f t="shared" si="26"/>
        <v>Retail by regions</v>
      </c>
      <c r="R114" s="5" t="s">
        <v>147</v>
      </c>
      <c r="S114">
        <f>AA136</f>
        <v>162</v>
      </c>
      <c r="T114">
        <f>AB136</f>
        <v>188</v>
      </c>
      <c r="U114">
        <f>AC136</f>
        <v>194</v>
      </c>
      <c r="X114" s="5" t="str">
        <f>X107</f>
        <v>Finance costs, net of fin. income</v>
      </c>
      <c r="AA114">
        <v>-220</v>
      </c>
      <c r="AB114">
        <v>0</v>
      </c>
    </row>
    <row r="115" spans="10:29" x14ac:dyDescent="0.3">
      <c r="J115" s="5" t="str">
        <f t="shared" si="26"/>
        <v>UK &amp; ROI</v>
      </c>
      <c r="K115">
        <f t="shared" ref="K115:L118" si="27">AA126/AA$130</f>
        <v>0.79143166828945677</v>
      </c>
      <c r="L115">
        <f t="shared" si="27"/>
        <v>0.79160298638559512</v>
      </c>
      <c r="R115" s="5" t="s">
        <v>264</v>
      </c>
      <c r="S115">
        <f>SUM(S110,S114)</f>
        <v>930</v>
      </c>
      <c r="T115">
        <f t="shared" ref="T115:U115" si="28">SUM(T110,T114)</f>
        <v>988</v>
      </c>
      <c r="U115">
        <f t="shared" si="28"/>
        <v>2353</v>
      </c>
      <c r="X115" s="5" t="s">
        <v>127</v>
      </c>
      <c r="AA115">
        <f>SUM(AA111:AA114)</f>
        <v>-118</v>
      </c>
      <c r="AB115">
        <f>SUM(AB111:AB114)</f>
        <v>-6690</v>
      </c>
    </row>
    <row r="116" spans="10:29" x14ac:dyDescent="0.3">
      <c r="J116" s="5" t="str">
        <f t="shared" si="26"/>
        <v>International*</v>
      </c>
      <c r="K116">
        <f t="shared" si="27"/>
        <v>0.19102382745760843</v>
      </c>
      <c r="L116">
        <f t="shared" si="27"/>
        <v>0.19176108915239351</v>
      </c>
      <c r="R116" s="5" t="s">
        <v>143</v>
      </c>
      <c r="S116">
        <f>ROUND(-S115*S127,0)</f>
        <v>-27</v>
      </c>
      <c r="T116">
        <f>ROUND(-T115*T127,0)</f>
        <v>-78</v>
      </c>
      <c r="U116">
        <f>ROUND(-U115*U127,0)</f>
        <v>-361</v>
      </c>
      <c r="X116" s="5" t="s">
        <v>126</v>
      </c>
      <c r="AA116">
        <v>62</v>
      </c>
      <c r="AB116">
        <v>698</v>
      </c>
    </row>
    <row r="117" spans="10:29" x14ac:dyDescent="0.3">
      <c r="J117" s="5" t="str">
        <f t="shared" si="26"/>
        <v>Retail - total</v>
      </c>
      <c r="K117">
        <f t="shared" si="27"/>
        <v>0.98245549574706514</v>
      </c>
      <c r="L117">
        <f t="shared" si="27"/>
        <v>0.98336407553798855</v>
      </c>
      <c r="R117" s="5" t="s">
        <v>141</v>
      </c>
      <c r="S117">
        <f>SUM(S115,S116)</f>
        <v>903</v>
      </c>
      <c r="T117">
        <f>SUM(T115,T116)</f>
        <v>910</v>
      </c>
      <c r="U117">
        <f>SUM(U115,U116)</f>
        <v>1992</v>
      </c>
    </row>
    <row r="118" spans="10:29" x14ac:dyDescent="0.3">
      <c r="J118" s="5" t="str">
        <f t="shared" si="26"/>
        <v>Financial services</v>
      </c>
      <c r="K118">
        <f t="shared" si="27"/>
        <v>1.7544504252934801E-2</v>
      </c>
      <c r="L118">
        <f t="shared" si="27"/>
        <v>1.6635924462011419E-2</v>
      </c>
      <c r="R118" s="5" t="s">
        <v>140</v>
      </c>
      <c r="X118" s="5" t="s">
        <v>41</v>
      </c>
      <c r="AA118">
        <v>1.7000000000000001E-2</v>
      </c>
      <c r="AB118">
        <v>-0.70820000000000005</v>
      </c>
      <c r="AC118">
        <v>1.2070000000000001E-2</v>
      </c>
    </row>
    <row r="119" spans="10:29" x14ac:dyDescent="0.3">
      <c r="J119" s="5" t="str">
        <f>X131</f>
        <v>Operating profit by business segments</v>
      </c>
      <c r="R119" s="5" t="s">
        <v>139</v>
      </c>
      <c r="S119">
        <f>ROUND(AA106*(1-S127)+AA113*(1-S128),0)</f>
        <v>28</v>
      </c>
      <c r="T119">
        <f>ROUND(AB106*(1-T127)+AB113*(1-T128),0)</f>
        <v>-873</v>
      </c>
      <c r="U119">
        <f>ROUND(AC106*(1-U127)+AC113*(1-U128),0)</f>
        <v>235</v>
      </c>
      <c r="X119" s="5" t="s">
        <v>42</v>
      </c>
      <c r="AA119">
        <v>8126</v>
      </c>
      <c r="AB119">
        <v>8107</v>
      </c>
      <c r="AC119">
        <v>8068</v>
      </c>
    </row>
    <row r="120" spans="10:29" x14ac:dyDescent="0.3">
      <c r="J120" s="5" t="str">
        <f>X125</f>
        <v>Retail by regions</v>
      </c>
      <c r="R120" s="5" t="str">
        <f>X89&amp;" (rec. only), a.t."</f>
        <v>Share of profits (losses) of J.V. &amp; assoc't (rec. only), a.t.</v>
      </c>
      <c r="S120">
        <f>ROUND(AA89*(1-S127),0)</f>
        <v>-20</v>
      </c>
      <c r="T120">
        <f>ROUND(AB89*(1-T127),0)</f>
        <v>-12</v>
      </c>
      <c r="U120">
        <f>ROUND(AC89*(1-U127),0)</f>
        <v>51</v>
      </c>
      <c r="X120" s="5" t="s">
        <v>40</v>
      </c>
      <c r="AA120">
        <v>0</v>
      </c>
      <c r="AB120">
        <v>1.1599999999999999E-2</v>
      </c>
      <c r="AC120">
        <v>0.14760000000000001</v>
      </c>
    </row>
    <row r="121" spans="10:29" x14ac:dyDescent="0.3">
      <c r="J121" s="5" t="str">
        <f>X126</f>
        <v>UK &amp; ROI</v>
      </c>
      <c r="K121">
        <f t="shared" ref="K121:L124" si="29">AA133/AA$137</f>
        <v>0.53495762711864403</v>
      </c>
      <c r="L121">
        <f t="shared" si="29"/>
        <v>0.52978723404255323</v>
      </c>
      <c r="R121" s="5" t="s">
        <v>137</v>
      </c>
      <c r="S121">
        <f>ROUND((AA111+AA112)*(1-S128),0)</f>
        <v>34</v>
      </c>
      <c r="T121">
        <f>ROUND((AB111+AB112)*(1-T128),0)</f>
        <v>-5164</v>
      </c>
      <c r="U121">
        <f>ROUND((AC111+AC112)*(1-U128),0)</f>
        <v>0</v>
      </c>
    </row>
    <row r="122" spans="10:29" x14ac:dyDescent="0.3">
      <c r="J122" s="5" t="str">
        <f>X127</f>
        <v>International*</v>
      </c>
      <c r="K122">
        <f t="shared" si="29"/>
        <v>0.2934322033898305</v>
      </c>
      <c r="L122">
        <f t="shared" si="29"/>
        <v>0.27021276595744681</v>
      </c>
      <c r="R122" s="5" t="s">
        <v>136</v>
      </c>
      <c r="S122">
        <f>SUM(S117:S121)</f>
        <v>945</v>
      </c>
      <c r="T122">
        <f>SUM(T117:T121)</f>
        <v>-5139</v>
      </c>
      <c r="U122">
        <f>SUM(U117:U121)</f>
        <v>2278</v>
      </c>
    </row>
    <row r="123" spans="10:29" x14ac:dyDescent="0.3">
      <c r="J123" s="5" t="str">
        <f>X128</f>
        <v>Retail - total</v>
      </c>
      <c r="K123">
        <f t="shared" si="29"/>
        <v>0.82838983050847459</v>
      </c>
      <c r="L123">
        <f t="shared" si="29"/>
        <v>0.8</v>
      </c>
      <c r="R123" s="5" t="s">
        <v>135</v>
      </c>
      <c r="S123">
        <f>ROUND(AA107*(1-S127)+AA114*(1-S128),0)</f>
        <v>-729</v>
      </c>
      <c r="T123">
        <f>ROUND(AB107*(1-T127)+AB114*(1-T128),0)</f>
        <v>-526</v>
      </c>
      <c r="U123">
        <f>ROUND(AC107*(1-U127)+AC114*(1-U128),0)</f>
        <v>-366</v>
      </c>
      <c r="X123" s="5" t="s">
        <v>311</v>
      </c>
    </row>
    <row r="124" spans="10:29" x14ac:dyDescent="0.3">
      <c r="J124" s="5" t="str">
        <f>X129</f>
        <v>Financial services</v>
      </c>
      <c r="K124">
        <f t="shared" si="29"/>
        <v>0.17161016949152541</v>
      </c>
      <c r="L124">
        <f t="shared" si="29"/>
        <v>0.2</v>
      </c>
      <c r="R124" s="5" t="str">
        <f>R96</f>
        <v>Net profit attr. to non-controlling interests</v>
      </c>
      <c r="S124">
        <f>-AA98</f>
        <v>9</v>
      </c>
      <c r="T124">
        <f>-AB98</f>
        <v>25</v>
      </c>
      <c r="U124">
        <f>-AC98</f>
        <v>4</v>
      </c>
      <c r="X124" s="5" t="s">
        <v>359</v>
      </c>
    </row>
    <row r="125" spans="10:29" x14ac:dyDescent="0.3">
      <c r="R125" s="5" t="s">
        <v>131</v>
      </c>
      <c r="S125">
        <f>SUM(S122:S124)</f>
        <v>225</v>
      </c>
      <c r="T125">
        <f>SUM(T122:T124)</f>
        <v>-5640</v>
      </c>
      <c r="U125">
        <f>SUM(U122:U124)</f>
        <v>1916</v>
      </c>
      <c r="X125" s="5" t="s">
        <v>279</v>
      </c>
    </row>
    <row r="126" spans="10:29" x14ac:dyDescent="0.3">
      <c r="X126" s="5" t="s">
        <v>27</v>
      </c>
      <c r="AA126">
        <v>43080</v>
      </c>
      <c r="AB126">
        <v>45062</v>
      </c>
      <c r="AC126">
        <v>43057</v>
      </c>
    </row>
    <row r="127" spans="10:29" x14ac:dyDescent="0.3">
      <c r="J127" s="5" t="s">
        <v>274</v>
      </c>
      <c r="K127">
        <f>K2</f>
        <v>2016</v>
      </c>
      <c r="L127" t="str">
        <f>L2</f>
        <v>2015 (R)</v>
      </c>
      <c r="R127" s="5" t="s">
        <v>596</v>
      </c>
      <c r="S127">
        <f>-AA109/AA108</f>
        <v>2.8571428571428571E-2</v>
      </c>
      <c r="T127">
        <f>-AB109/AB108</f>
        <v>7.8651685393258425E-2</v>
      </c>
      <c r="U127">
        <f>-AC109/AC108</f>
        <v>0.15360779105799027</v>
      </c>
      <c r="X127" s="5" t="s">
        <v>282</v>
      </c>
      <c r="AA127">
        <v>10398</v>
      </c>
      <c r="AB127">
        <v>10916</v>
      </c>
      <c r="AC127">
        <f>9221+10276</f>
        <v>19497</v>
      </c>
    </row>
    <row r="128" spans="10:29" x14ac:dyDescent="0.3">
      <c r="J128" s="5" t="s">
        <v>275</v>
      </c>
      <c r="R128" s="5" t="s">
        <v>128</v>
      </c>
      <c r="S128">
        <f>-AA116/AA115</f>
        <v>0.52542372881355937</v>
      </c>
      <c r="T128">
        <f>-AB116/AB115</f>
        <v>0.10433482810164424</v>
      </c>
      <c r="X128" s="5" t="s">
        <v>270</v>
      </c>
      <c r="AA128">
        <f>SUM(AA126:AA127)</f>
        <v>53478</v>
      </c>
      <c r="AB128">
        <f>SUM(AB126:AB127)</f>
        <v>55978</v>
      </c>
      <c r="AC128">
        <f>SUM(AC126:AC127)</f>
        <v>62554</v>
      </c>
    </row>
    <row r="129" spans="10:29" x14ac:dyDescent="0.3">
      <c r="J129" s="5" t="str">
        <f>J99</f>
        <v>Retail</v>
      </c>
      <c r="X129" s="5" t="s">
        <v>49</v>
      </c>
      <c r="AA129">
        <v>955</v>
      </c>
      <c r="AB129">
        <v>947</v>
      </c>
      <c r="AC129">
        <v>1003</v>
      </c>
    </row>
    <row r="130" spans="10:29" x14ac:dyDescent="0.3">
      <c r="J130" s="5" t="str">
        <f>J101</f>
        <v>UK &amp; ROI</v>
      </c>
      <c r="K130">
        <f t="shared" ref="K130:L133" si="30">AA142/AB126-1</f>
        <v>-4.0078114597665415E-2</v>
      </c>
      <c r="L130">
        <f t="shared" si="30"/>
        <v>-2.7405532201499883E-3</v>
      </c>
      <c r="AA130">
        <f>SUM(AA128:AA129)</f>
        <v>54433</v>
      </c>
      <c r="AB130">
        <f t="shared" ref="AB130:AC130" si="31">SUM(AB128:AB129)</f>
        <v>56925</v>
      </c>
      <c r="AC130">
        <f t="shared" si="31"/>
        <v>63557</v>
      </c>
    </row>
    <row r="131" spans="10:29" x14ac:dyDescent="0.3">
      <c r="J131" s="5" t="str">
        <f>J102</f>
        <v>International*</v>
      </c>
      <c r="K131">
        <f t="shared" si="30"/>
        <v>1.3741297178453626E-2</v>
      </c>
      <c r="L131">
        <f t="shared" si="30"/>
        <v>-5.6418936246601659E-3</v>
      </c>
      <c r="X131" s="5" t="s">
        <v>262</v>
      </c>
    </row>
    <row r="132" spans="10:29" x14ac:dyDescent="0.3">
      <c r="J132" s="5" t="str">
        <f>J103</f>
        <v>Retail - total</v>
      </c>
      <c r="K132">
        <f t="shared" si="30"/>
        <v>-2.95830504841188E-2</v>
      </c>
      <c r="L132">
        <f t="shared" si="30"/>
        <v>-3.6448508488665654E-3</v>
      </c>
      <c r="R132" s="5" t="s">
        <v>276</v>
      </c>
      <c r="S132">
        <f>S115</f>
        <v>930</v>
      </c>
      <c r="T132">
        <f>T115</f>
        <v>988</v>
      </c>
      <c r="U132">
        <f>U115</f>
        <v>2353</v>
      </c>
      <c r="X132" s="5" t="str">
        <f>X125</f>
        <v>Retail by regions</v>
      </c>
    </row>
    <row r="133" spans="10:29" x14ac:dyDescent="0.3">
      <c r="J133" s="5" t="str">
        <f>J105</f>
        <v>Financial services</v>
      </c>
      <c r="K133">
        <f t="shared" si="30"/>
        <v>8.4477296726503948E-3</v>
      </c>
      <c r="L133">
        <f t="shared" si="30"/>
        <v>2.093718843469583E-2</v>
      </c>
      <c r="R133" s="5" t="s">
        <v>31</v>
      </c>
      <c r="S133">
        <f>-AA156</f>
        <v>-1450</v>
      </c>
      <c r="T133">
        <f>-AB156</f>
        <v>-6191</v>
      </c>
      <c r="U133">
        <f>-AC156</f>
        <v>-2265</v>
      </c>
      <c r="X133" s="5" t="str">
        <f t="shared" ref="X133:X136" si="32">X126</f>
        <v>UK &amp; ROI</v>
      </c>
      <c r="AA133">
        <v>505</v>
      </c>
      <c r="AB133">
        <v>498</v>
      </c>
      <c r="AC133">
        <v>2191</v>
      </c>
    </row>
    <row r="134" spans="10:29" x14ac:dyDescent="0.3">
      <c r="J134" s="5" t="s">
        <v>278</v>
      </c>
      <c r="R134" s="5" t="s">
        <v>277</v>
      </c>
      <c r="S134">
        <f t="shared" ref="S134:T134" si="33">S132-S133</f>
        <v>2380</v>
      </c>
      <c r="T134">
        <f t="shared" si="33"/>
        <v>7179</v>
      </c>
      <c r="U134">
        <f>U132-U133</f>
        <v>4618</v>
      </c>
      <c r="X134" s="5" t="str">
        <f t="shared" si="32"/>
        <v>International*</v>
      </c>
      <c r="AA134">
        <v>277</v>
      </c>
      <c r="AB134">
        <v>254</v>
      </c>
      <c r="AC134">
        <v>930</v>
      </c>
    </row>
    <row r="135" spans="10:29" x14ac:dyDescent="0.3">
      <c r="J135" s="5" t="str">
        <f>J129</f>
        <v>Retail</v>
      </c>
      <c r="R135" s="5" t="s">
        <v>336</v>
      </c>
      <c r="S135">
        <f>AA234</f>
        <v>288</v>
      </c>
      <c r="T135">
        <f>AB234</f>
        <v>120</v>
      </c>
      <c r="U135">
        <f>AC234</f>
        <v>59</v>
      </c>
      <c r="X135" s="5" t="str">
        <f t="shared" si="32"/>
        <v>Retail - total</v>
      </c>
      <c r="AA135">
        <f>SUM(AA133:AA134)</f>
        <v>782</v>
      </c>
      <c r="AB135">
        <f t="shared" ref="AB135:AC135" si="34">SUM(AB133:AB134)</f>
        <v>752</v>
      </c>
      <c r="AC135">
        <f t="shared" si="34"/>
        <v>3121</v>
      </c>
    </row>
    <row r="136" spans="10:29" x14ac:dyDescent="0.3">
      <c r="J136" s="5" t="str">
        <f t="shared" ref="J136:J139" si="35">J130</f>
        <v>UK &amp; ROI</v>
      </c>
      <c r="K136">
        <f t="shared" ref="K136:L139" si="36">AA142/AA$146</f>
        <v>0.78253161351013989</v>
      </c>
      <c r="L136">
        <f t="shared" si="36"/>
        <v>0.67780584056827153</v>
      </c>
      <c r="R136" s="5" t="s">
        <v>335</v>
      </c>
      <c r="S136">
        <f>SUM(S134:S135)</f>
        <v>2668</v>
      </c>
      <c r="T136">
        <f t="shared" ref="T136:U136" si="37">SUM(T134:T135)</f>
        <v>7299</v>
      </c>
      <c r="U136">
        <f t="shared" si="37"/>
        <v>4677</v>
      </c>
      <c r="X136" s="5" t="str">
        <f t="shared" si="32"/>
        <v>Financial services</v>
      </c>
      <c r="AA136">
        <v>162</v>
      </c>
      <c r="AB136">
        <v>188</v>
      </c>
      <c r="AC136">
        <v>194</v>
      </c>
    </row>
    <row r="137" spans="10:29" x14ac:dyDescent="0.3">
      <c r="J137" s="5" t="str">
        <f t="shared" si="35"/>
        <v>International*</v>
      </c>
      <c r="K137">
        <f t="shared" si="36"/>
        <v>0.20019176149212151</v>
      </c>
      <c r="L137">
        <f t="shared" si="36"/>
        <v>0.30602999210734017</v>
      </c>
      <c r="AA137">
        <f>SUM(AA135:AA136)</f>
        <v>944</v>
      </c>
      <c r="AB137">
        <f t="shared" ref="AB137:AC137" si="38">SUM(AB135:AB136)</f>
        <v>940</v>
      </c>
      <c r="AC137">
        <f t="shared" si="38"/>
        <v>3315</v>
      </c>
    </row>
    <row r="138" spans="10:29" x14ac:dyDescent="0.3">
      <c r="J138" s="5" t="str">
        <f t="shared" si="35"/>
        <v>Retail - total</v>
      </c>
      <c r="K138">
        <f t="shared" si="36"/>
        <v>0.98272337500226137</v>
      </c>
      <c r="L138">
        <f t="shared" si="36"/>
        <v>0.9838358326756117</v>
      </c>
      <c r="X138" s="5" t="s">
        <v>283</v>
      </c>
    </row>
    <row r="139" spans="10:29" x14ac:dyDescent="0.3">
      <c r="J139" s="5" t="str">
        <f t="shared" si="35"/>
        <v>Financial services</v>
      </c>
      <c r="K139">
        <f t="shared" si="36"/>
        <v>1.7276624997738663E-2</v>
      </c>
      <c r="L139">
        <f t="shared" si="36"/>
        <v>1.6164167324388318E-2</v>
      </c>
    </row>
    <row r="140" spans="10:29" x14ac:dyDescent="0.3">
      <c r="X140" s="5" t="s">
        <v>360</v>
      </c>
    </row>
    <row r="141" spans="10:29" x14ac:dyDescent="0.3">
      <c r="X141" s="5" t="s">
        <v>273</v>
      </c>
    </row>
    <row r="142" spans="10:29" x14ac:dyDescent="0.3">
      <c r="J142" s="5" t="s">
        <v>284</v>
      </c>
      <c r="X142" s="5" t="s">
        <v>27</v>
      </c>
      <c r="AA142">
        <v>43256</v>
      </c>
      <c r="AB142">
        <v>42939</v>
      </c>
      <c r="AC142">
        <v>43057</v>
      </c>
    </row>
    <row r="143" spans="10:29" x14ac:dyDescent="0.3">
      <c r="K143">
        <f>K2</f>
        <v>2016</v>
      </c>
      <c r="L143" t="str">
        <f>L2</f>
        <v>2015 (R)</v>
      </c>
      <c r="X143" s="5" t="s">
        <v>26</v>
      </c>
      <c r="AA143">
        <v>11066</v>
      </c>
      <c r="AB143">
        <f>10184+9203</f>
        <v>19387</v>
      </c>
      <c r="AC143">
        <f>9072+10149</f>
        <v>19221</v>
      </c>
    </row>
    <row r="144" spans="10:29" x14ac:dyDescent="0.3">
      <c r="J144" s="5" t="str">
        <f t="shared" ref="J144:J166" si="39">R6</f>
        <v>Operating assets</v>
      </c>
      <c r="X144" s="5" t="s">
        <v>270</v>
      </c>
      <c r="AA144">
        <f>SUM(AA142:AA143)</f>
        <v>54322</v>
      </c>
      <c r="AB144">
        <f>SUM(AB142:AB143)</f>
        <v>62326</v>
      </c>
      <c r="AC144">
        <f>SUM(AC142:AC143)</f>
        <v>62278</v>
      </c>
    </row>
    <row r="145" spans="10:29" x14ac:dyDescent="0.3">
      <c r="J145" s="5" t="str">
        <f t="shared" si="39"/>
        <v>Cash (operating)</v>
      </c>
      <c r="K145">
        <f t="shared" ref="K145:L166" si="40">S7/S$28</f>
        <v>0.15978640377901007</v>
      </c>
      <c r="L145">
        <f t="shared" si="40"/>
        <v>0.12984484332217827</v>
      </c>
      <c r="X145" s="5" t="s">
        <v>49</v>
      </c>
      <c r="AA145">
        <v>955</v>
      </c>
      <c r="AB145">
        <v>1024</v>
      </c>
      <c r="AC145">
        <v>1003</v>
      </c>
    </row>
    <row r="146" spans="10:29" x14ac:dyDescent="0.3">
      <c r="J146" s="5" t="str">
        <f t="shared" si="39"/>
        <v>Trade receivables</v>
      </c>
      <c r="K146">
        <f t="shared" si="40"/>
        <v>0.11001574587526529</v>
      </c>
      <c r="L146">
        <f t="shared" si="40"/>
        <v>0.12905384849406754</v>
      </c>
      <c r="AA146">
        <f>SUM(AA144:AA145)</f>
        <v>55277</v>
      </c>
      <c r="AB146">
        <f t="shared" ref="AB146:AC146" si="41">SUM(AB144:AB145)</f>
        <v>63350</v>
      </c>
      <c r="AC146">
        <f t="shared" si="41"/>
        <v>63281</v>
      </c>
    </row>
    <row r="147" spans="10:29" x14ac:dyDescent="0.3">
      <c r="J147" s="5" t="str">
        <f t="shared" si="39"/>
        <v>Inventories</v>
      </c>
      <c r="K147">
        <f t="shared" si="40"/>
        <v>0.16635859519408502</v>
      </c>
      <c r="L147">
        <f t="shared" si="40"/>
        <v>0.17992090051718893</v>
      </c>
    </row>
    <row r="148" spans="10:29" x14ac:dyDescent="0.3">
      <c r="J148" s="5" t="str">
        <f t="shared" si="39"/>
        <v>Current tax assets</v>
      </c>
      <c r="K148">
        <f t="shared" si="40"/>
        <v>1.0269049086054631E-3</v>
      </c>
      <c r="L148">
        <f t="shared" si="40"/>
        <v>9.735320961362945E-4</v>
      </c>
      <c r="X148" s="5" t="s">
        <v>38</v>
      </c>
    </row>
    <row r="149" spans="10:29" x14ac:dyDescent="0.3">
      <c r="J149" s="5" t="str">
        <f t="shared" si="39"/>
        <v>Loans and advances to customers, current</v>
      </c>
      <c r="K149">
        <f t="shared" si="40"/>
        <v>0.2614499897309509</v>
      </c>
      <c r="L149">
        <f t="shared" si="40"/>
        <v>0.23206571341648921</v>
      </c>
      <c r="X149" s="5" t="s">
        <v>149</v>
      </c>
      <c r="AA149">
        <v>39955</v>
      </c>
      <c r="AB149">
        <v>42515</v>
      </c>
      <c r="AC149">
        <v>46832</v>
      </c>
    </row>
    <row r="150" spans="10:29" x14ac:dyDescent="0.3">
      <c r="J150" s="5" t="str">
        <f t="shared" si="39"/>
        <v>Property, plant and equipment</v>
      </c>
      <c r="K150">
        <f t="shared" si="40"/>
        <v>1.2254398576025194</v>
      </c>
      <c r="L150">
        <f t="shared" si="40"/>
        <v>1.2436872528141163</v>
      </c>
      <c r="X150" s="5" t="s">
        <v>148</v>
      </c>
      <c r="AA150">
        <v>1263</v>
      </c>
      <c r="AB150">
        <v>1623</v>
      </c>
      <c r="AC150">
        <v>1316</v>
      </c>
    </row>
    <row r="151" spans="10:29" x14ac:dyDescent="0.3">
      <c r="J151" s="5" t="str">
        <f t="shared" si="39"/>
        <v>Goodwill &amp; other intangible assets</v>
      </c>
      <c r="K151">
        <f t="shared" si="40"/>
        <v>0.19675498048880674</v>
      </c>
      <c r="L151">
        <f t="shared" si="40"/>
        <v>0.22944934590812291</v>
      </c>
      <c r="X151" s="5" t="s">
        <v>146</v>
      </c>
      <c r="AA151">
        <v>0</v>
      </c>
      <c r="AB151">
        <v>359</v>
      </c>
    </row>
    <row r="152" spans="10:29" x14ac:dyDescent="0.3">
      <c r="J152" s="5" t="str">
        <f t="shared" si="39"/>
        <v>Investment property</v>
      </c>
      <c r="K152">
        <f t="shared" si="40"/>
        <v>5.3399055247484086E-3</v>
      </c>
      <c r="L152">
        <f t="shared" si="40"/>
        <v>9.9787039853970194E-3</v>
      </c>
    </row>
    <row r="153" spans="10:29" x14ac:dyDescent="0.3">
      <c r="J153" s="5" t="str">
        <f t="shared" si="39"/>
        <v>Investments accounted for by the equity method</v>
      </c>
      <c r="K153">
        <f t="shared" si="40"/>
        <v>5.3741356883685906E-2</v>
      </c>
      <c r="L153">
        <f t="shared" si="40"/>
        <v>5.7195010648007298E-2</v>
      </c>
      <c r="X153" s="5" t="s">
        <v>37</v>
      </c>
      <c r="AA153">
        <v>1249</v>
      </c>
      <c r="AB153">
        <v>1366</v>
      </c>
      <c r="AC153">
        <v>1532</v>
      </c>
    </row>
    <row r="154" spans="10:29" x14ac:dyDescent="0.3">
      <c r="J154" s="5" t="str">
        <f t="shared" si="39"/>
        <v>Deferred tax assets</v>
      </c>
      <c r="K154">
        <f t="shared" si="40"/>
        <v>3.3545560347778463E-3</v>
      </c>
      <c r="L154">
        <f t="shared" si="40"/>
        <v>3.1274718588378464E-2</v>
      </c>
      <c r="X154" s="5" t="s">
        <v>36</v>
      </c>
      <c r="AA154">
        <f>13+1</f>
        <v>14</v>
      </c>
      <c r="AB154">
        <f>3944+712</f>
        <v>4656</v>
      </c>
      <c r="AC154">
        <v>733</v>
      </c>
    </row>
    <row r="155" spans="10:29" x14ac:dyDescent="0.3">
      <c r="J155" s="5" t="str">
        <f t="shared" si="39"/>
        <v>Loans and advances to customers, n/c</v>
      </c>
      <c r="K155">
        <f t="shared" si="40"/>
        <v>0.32333812555624014</v>
      </c>
      <c r="L155">
        <f t="shared" si="40"/>
        <v>0.2376635229692729</v>
      </c>
      <c r="X155" s="5" t="s">
        <v>35</v>
      </c>
      <c r="AA155">
        <v>187</v>
      </c>
      <c r="AB155">
        <v>169</v>
      </c>
      <c r="AC155">
        <v>0</v>
      </c>
    </row>
    <row r="156" spans="10:29" x14ac:dyDescent="0.3">
      <c r="J156" s="5" t="str">
        <f t="shared" si="39"/>
        <v>Total operating assets</v>
      </c>
      <c r="K156">
        <f t="shared" si="40"/>
        <v>2.5066064215786952</v>
      </c>
      <c r="L156">
        <f t="shared" si="40"/>
        <v>2.481107392759355</v>
      </c>
      <c r="X156" s="5" t="s">
        <v>34</v>
      </c>
      <c r="AA156">
        <f>SUM(AA153:AA155)</f>
        <v>1450</v>
      </c>
      <c r="AB156">
        <f>SUM(AB153:AB155)</f>
        <v>6191</v>
      </c>
      <c r="AC156">
        <f>SUM(AC153:AC155)</f>
        <v>2265</v>
      </c>
    </row>
    <row r="157" spans="10:29" x14ac:dyDescent="0.3">
      <c r="J157" s="5" t="str">
        <f t="shared" si="39"/>
        <v>Operating liabilities</v>
      </c>
      <c r="K157">
        <f t="shared" si="40"/>
        <v>0</v>
      </c>
      <c r="L157">
        <f t="shared" si="40"/>
        <v>0</v>
      </c>
    </row>
    <row r="158" spans="10:29" x14ac:dyDescent="0.3">
      <c r="J158" s="5" t="str">
        <f t="shared" si="39"/>
        <v xml:space="preserve">Trade and other payables </v>
      </c>
      <c r="K158">
        <f t="shared" si="40"/>
        <v>-0.58656808379544056</v>
      </c>
      <c r="L158">
        <f t="shared" si="40"/>
        <v>-0.60371159111651962</v>
      </c>
    </row>
    <row r="159" spans="10:29" x14ac:dyDescent="0.3">
      <c r="J159" s="5" t="str">
        <f t="shared" si="39"/>
        <v>Current tax liabilities</v>
      </c>
      <c r="K159">
        <f t="shared" si="40"/>
        <v>-2.8684877113712603E-2</v>
      </c>
      <c r="L159">
        <f t="shared" si="40"/>
        <v>-5.7803468208092483E-3</v>
      </c>
    </row>
    <row r="160" spans="10:29" x14ac:dyDescent="0.3">
      <c r="J160" s="5" t="str">
        <f t="shared" si="39"/>
        <v>Provisions, current</v>
      </c>
      <c r="K160">
        <f t="shared" si="40"/>
        <v>-2.4645717806531114E-2</v>
      </c>
      <c r="L160">
        <f t="shared" si="40"/>
        <v>-4.0827502281715854E-2</v>
      </c>
      <c r="R160" s="5" t="s">
        <v>124</v>
      </c>
      <c r="X160" s="5" t="s">
        <v>125</v>
      </c>
    </row>
    <row r="161" spans="10:28" x14ac:dyDescent="0.3">
      <c r="J161" s="5" t="str">
        <f t="shared" si="39"/>
        <v>Customer deposits and deposits from banks</v>
      </c>
      <c r="K161">
        <f t="shared" si="40"/>
        <v>-0.51201478743068396</v>
      </c>
      <c r="L161">
        <f t="shared" si="40"/>
        <v>-0.42713720717979919</v>
      </c>
      <c r="S161">
        <f>S4</f>
        <v>2016</v>
      </c>
      <c r="T161">
        <f>T4</f>
        <v>2015</v>
      </c>
      <c r="AA161">
        <f>AA81</f>
        <v>2016</v>
      </c>
      <c r="AB161" t="str">
        <f>AB81</f>
        <v>2015(R)</v>
      </c>
    </row>
    <row r="162" spans="10:28" x14ac:dyDescent="0.3">
      <c r="J162" s="5" t="str">
        <f t="shared" si="39"/>
        <v>Deferred tax liabilities</v>
      </c>
      <c r="K162">
        <f t="shared" si="40"/>
        <v>-9.242144177449169E-3</v>
      </c>
      <c r="L162">
        <f t="shared" si="40"/>
        <v>-1.2108305445695163E-2</v>
      </c>
      <c r="R162" s="5" t="str">
        <f>R104</f>
        <v>53 weeks ended 28 February</v>
      </c>
      <c r="S162" t="str">
        <f>S104</f>
        <v>£ m</v>
      </c>
      <c r="T162" t="str">
        <f>T104</f>
        <v>£ m</v>
      </c>
      <c r="X162" s="5" t="str">
        <f>X82</f>
        <v>53 weeks ended 28 February</v>
      </c>
      <c r="AA162" t="str">
        <f>AA82</f>
        <v>£ m</v>
      </c>
      <c r="AB162" t="str">
        <f>AB82</f>
        <v>£ m</v>
      </c>
    </row>
    <row r="163" spans="10:28" x14ac:dyDescent="0.3">
      <c r="J163" s="5" t="str">
        <f t="shared" si="39"/>
        <v>Provisions and other payables, n/c</v>
      </c>
      <c r="K163">
        <f t="shared" si="40"/>
        <v>-0.26281919627575817</v>
      </c>
      <c r="L163">
        <f t="shared" si="40"/>
        <v>-0.3369029510191664</v>
      </c>
      <c r="R163" s="5" t="s">
        <v>122</v>
      </c>
      <c r="X163" s="5" t="s">
        <v>123</v>
      </c>
    </row>
    <row r="164" spans="10:28" x14ac:dyDescent="0.3">
      <c r="J164" s="5" t="str">
        <f t="shared" si="39"/>
        <v>Borrowings for Tesco Bank, n/c</v>
      </c>
      <c r="K164">
        <f t="shared" si="40"/>
        <v>-8.2631614979119597E-2</v>
      </c>
      <c r="L164">
        <f t="shared" si="40"/>
        <v>-5.4639488895649527E-2</v>
      </c>
      <c r="R164" s="5" t="str">
        <f>X165</f>
        <v>Cash generated from operations</v>
      </c>
      <c r="S164">
        <f>AA165</f>
        <v>2434</v>
      </c>
      <c r="T164">
        <f>AB165</f>
        <v>1467</v>
      </c>
      <c r="X164" s="5" t="s">
        <v>121</v>
      </c>
      <c r="AA164" t="s">
        <v>44</v>
      </c>
      <c r="AB164" t="s">
        <v>44</v>
      </c>
    </row>
    <row r="165" spans="10:28" x14ac:dyDescent="0.3">
      <c r="J165" s="5" t="str">
        <f t="shared" si="39"/>
        <v>Total operating liabilities</v>
      </c>
      <c r="K165">
        <f t="shared" si="40"/>
        <v>-1.5066064215786952</v>
      </c>
      <c r="L165">
        <f t="shared" si="40"/>
        <v>-1.481107392759355</v>
      </c>
      <c r="R165" s="5" t="s">
        <v>102</v>
      </c>
      <c r="S165">
        <f>AA202</f>
        <v>-200</v>
      </c>
      <c r="T165">
        <f>AB202</f>
        <v>127</v>
      </c>
      <c r="X165" s="5" t="s">
        <v>120</v>
      </c>
      <c r="Y165" t="s">
        <v>51</v>
      </c>
      <c r="AA165">
        <v>2434</v>
      </c>
      <c r="AB165">
        <v>1467</v>
      </c>
    </row>
    <row r="166" spans="10:28" x14ac:dyDescent="0.3">
      <c r="J166" s="5" t="str">
        <f t="shared" si="39"/>
        <v>Net operating assets</v>
      </c>
      <c r="K166">
        <f t="shared" si="40"/>
        <v>1</v>
      </c>
      <c r="L166">
        <f t="shared" si="40"/>
        <v>1</v>
      </c>
      <c r="R166" s="5" t="str">
        <f>X169</f>
        <v>Corporate tax paid</v>
      </c>
      <c r="S166">
        <f>AA169</f>
        <v>118</v>
      </c>
      <c r="T166">
        <f>AB169</f>
        <v>-370</v>
      </c>
      <c r="X166" s="5" t="s">
        <v>119</v>
      </c>
      <c r="AA166">
        <v>-426</v>
      </c>
      <c r="AB166">
        <v>-613</v>
      </c>
    </row>
    <row r="167" spans="10:28" x14ac:dyDescent="0.3">
      <c r="R167" s="5" t="s">
        <v>118</v>
      </c>
      <c r="S167">
        <f>AA168+AA185</f>
        <v>-12</v>
      </c>
      <c r="T167">
        <f>AB168+AB185</f>
        <v>-40</v>
      </c>
      <c r="X167" s="5" t="s">
        <v>117</v>
      </c>
      <c r="Y167" t="s">
        <v>47</v>
      </c>
      <c r="AA167">
        <f>ROUND(AA166*(1-S127),0)</f>
        <v>-414</v>
      </c>
      <c r="AB167">
        <f>ROUND(AB166*(1-T127),0)</f>
        <v>-565</v>
      </c>
    </row>
    <row r="168" spans="10:28" x14ac:dyDescent="0.3">
      <c r="J168" s="5" t="str">
        <f t="shared" ref="J168:J181" si="42">R30</f>
        <v>Financial liabilities</v>
      </c>
      <c r="K168">
        <f t="shared" ref="K168:L181" si="43">S30/S$28</f>
        <v>0</v>
      </c>
      <c r="L168">
        <f t="shared" si="43"/>
        <v>0</v>
      </c>
      <c r="R168" s="5" t="s">
        <v>116</v>
      </c>
      <c r="S168">
        <f>SUM(S164:S167)</f>
        <v>2340</v>
      </c>
      <c r="T168">
        <f>SUM(T164:T167)</f>
        <v>1184</v>
      </c>
      <c r="X168" s="5" t="s">
        <v>115</v>
      </c>
      <c r="Y168" t="s">
        <v>51</v>
      </c>
      <c r="AA168">
        <f>AA166-AA167</f>
        <v>-12</v>
      </c>
      <c r="AB168">
        <f>AB166-AB167</f>
        <v>-48</v>
      </c>
    </row>
    <row r="169" spans="10:28" x14ac:dyDescent="0.3">
      <c r="J169" s="5" t="str">
        <f t="shared" si="42"/>
        <v>S/T borrowings</v>
      </c>
      <c r="K169">
        <f t="shared" si="43"/>
        <v>0.19771342507017184</v>
      </c>
      <c r="L169">
        <f t="shared" si="43"/>
        <v>0.12759355034986311</v>
      </c>
      <c r="R169" s="5" t="s">
        <v>114</v>
      </c>
      <c r="X169" s="5" t="s">
        <v>113</v>
      </c>
      <c r="Y169" t="s">
        <v>51</v>
      </c>
      <c r="AA169">
        <v>118</v>
      </c>
      <c r="AB169">
        <v>-370</v>
      </c>
    </row>
    <row r="170" spans="10:28" x14ac:dyDescent="0.3">
      <c r="J170" s="5" t="str">
        <f t="shared" si="42"/>
        <v>Other non-current borrowings</v>
      </c>
      <c r="K170">
        <f t="shared" si="43"/>
        <v>0.71150818100910518</v>
      </c>
      <c r="L170">
        <f t="shared" si="43"/>
        <v>0.65098874353513847</v>
      </c>
      <c r="R170" s="5" t="s">
        <v>112</v>
      </c>
      <c r="S170">
        <f>AA172+AA173</f>
        <v>-1038</v>
      </c>
      <c r="T170">
        <f>AB172+AB173</f>
        <v>-2318</v>
      </c>
      <c r="X170" s="5" t="s">
        <v>111</v>
      </c>
      <c r="AA170">
        <f>SUM(AA165:AA166,AA169)</f>
        <v>2126</v>
      </c>
      <c r="AB170">
        <f>SUM(AB165:AB166,AB169)</f>
        <v>484</v>
      </c>
    </row>
    <row r="171" spans="10:28" x14ac:dyDescent="0.3">
      <c r="J171" s="5" t="str">
        <f t="shared" si="42"/>
        <v>Total financial liabilities</v>
      </c>
      <c r="K171">
        <f t="shared" si="43"/>
        <v>0.90922160607927704</v>
      </c>
      <c r="L171">
        <f t="shared" si="43"/>
        <v>0.77858229388500155</v>
      </c>
      <c r="R171" s="5" t="s">
        <v>110</v>
      </c>
      <c r="S171">
        <f>AA177</f>
        <v>350</v>
      </c>
      <c r="T171">
        <f>AB177</f>
        <v>244</v>
      </c>
      <c r="X171" s="5" t="s">
        <v>109</v>
      </c>
    </row>
    <row r="172" spans="10:28" x14ac:dyDescent="0.3">
      <c r="J172" s="5" t="str">
        <f t="shared" si="42"/>
        <v>Financial assets</v>
      </c>
      <c r="K172">
        <f t="shared" si="43"/>
        <v>0</v>
      </c>
      <c r="L172">
        <f t="shared" si="43"/>
        <v>0</v>
      </c>
      <c r="R172" s="5" t="s">
        <v>108</v>
      </c>
      <c r="S172">
        <f>AA175+AA179</f>
        <v>-402</v>
      </c>
      <c r="T172">
        <f>AB175+AB179</f>
        <v>-468</v>
      </c>
      <c r="X172" s="5" t="s">
        <v>107</v>
      </c>
      <c r="Y172" t="s">
        <v>50</v>
      </c>
      <c r="AA172">
        <v>-871</v>
      </c>
      <c r="AB172">
        <v>-1989</v>
      </c>
    </row>
    <row r="173" spans="10:28" x14ac:dyDescent="0.3">
      <c r="J173" s="5" t="str">
        <f t="shared" si="42"/>
        <v>Cash equivalents (financial)</v>
      </c>
      <c r="K173">
        <f t="shared" si="43"/>
        <v>-5.120832477579243E-2</v>
      </c>
      <c r="L173">
        <f t="shared" si="43"/>
        <v>-1.8862184362640705E-3</v>
      </c>
      <c r="R173" s="5" t="s">
        <v>106</v>
      </c>
      <c r="S173">
        <f>AA174+AA176</f>
        <v>3429</v>
      </c>
      <c r="T173">
        <f>AB174+AB176</f>
        <v>-157</v>
      </c>
      <c r="X173" s="5" t="s">
        <v>105</v>
      </c>
      <c r="Y173" t="s">
        <v>50</v>
      </c>
      <c r="AA173">
        <v>-167</v>
      </c>
      <c r="AB173">
        <v>-329</v>
      </c>
    </row>
    <row r="174" spans="10:28" x14ac:dyDescent="0.3">
      <c r="J174" s="5" t="str">
        <f t="shared" si="42"/>
        <v>Financial instruments, S/T &amp; L/T</v>
      </c>
      <c r="K174">
        <f t="shared" si="43"/>
        <v>-0.11693023892654207</v>
      </c>
      <c r="L174">
        <f t="shared" si="43"/>
        <v>-0.10337693945847277</v>
      </c>
      <c r="R174" s="5" t="s">
        <v>104</v>
      </c>
      <c r="S174">
        <f>AA182+AA178</f>
        <v>40</v>
      </c>
      <c r="T174">
        <f>AB182+AB178</f>
        <v>109</v>
      </c>
      <c r="X174" s="5" t="s">
        <v>103</v>
      </c>
      <c r="Y174" t="s">
        <v>50</v>
      </c>
      <c r="AA174">
        <v>3237</v>
      </c>
      <c r="AB174">
        <v>-157</v>
      </c>
    </row>
    <row r="175" spans="10:28" x14ac:dyDescent="0.3">
      <c r="J175" s="5" t="str">
        <f t="shared" si="42"/>
        <v>Financial investments, S/T &amp; L/T</v>
      </c>
      <c r="K175">
        <f t="shared" si="43"/>
        <v>-0.31478058465119463</v>
      </c>
      <c r="L175">
        <f t="shared" si="43"/>
        <v>-9.5406145421356864E-2</v>
      </c>
      <c r="R175" s="5" t="s">
        <v>100</v>
      </c>
      <c r="S175">
        <f>SUM(S170:S174)</f>
        <v>2379</v>
      </c>
      <c r="T175">
        <f>SUM(T170:T174)</f>
        <v>-2590</v>
      </c>
      <c r="X175" s="5" t="s">
        <v>101</v>
      </c>
      <c r="Y175" t="s">
        <v>50</v>
      </c>
      <c r="AA175">
        <v>-325</v>
      </c>
      <c r="AB175">
        <v>-86</v>
      </c>
    </row>
    <row r="176" spans="10:28" x14ac:dyDescent="0.3">
      <c r="J176" s="5" t="str">
        <f t="shared" si="42"/>
        <v>Total financial assets</v>
      </c>
      <c r="K176">
        <f t="shared" si="43"/>
        <v>-0.48291914835352912</v>
      </c>
      <c r="L176">
        <f t="shared" si="43"/>
        <v>-0.2006693033160937</v>
      </c>
      <c r="R176" s="5" t="s">
        <v>98</v>
      </c>
      <c r="S176">
        <f>S168+S175</f>
        <v>4719</v>
      </c>
      <c r="T176">
        <f>T168+T175</f>
        <v>-1406</v>
      </c>
      <c r="X176" s="5" t="s">
        <v>99</v>
      </c>
      <c r="Y176" t="s">
        <v>50</v>
      </c>
      <c r="AA176">
        <v>192</v>
      </c>
      <c r="AB176">
        <v>0</v>
      </c>
    </row>
    <row r="177" spans="10:28" x14ac:dyDescent="0.3">
      <c r="J177" s="5" t="str">
        <f t="shared" si="42"/>
        <v>Net financial liabilities (assets)</v>
      </c>
      <c r="K177">
        <f t="shared" si="43"/>
        <v>0.42630245772574793</v>
      </c>
      <c r="L177">
        <f t="shared" si="43"/>
        <v>0.57791299056890777</v>
      </c>
      <c r="X177" s="5" t="s">
        <v>97</v>
      </c>
      <c r="Y177" t="s">
        <v>50</v>
      </c>
      <c r="AA177">
        <v>350</v>
      </c>
      <c r="AB177">
        <v>244</v>
      </c>
    </row>
    <row r="178" spans="10:28" x14ac:dyDescent="0.3">
      <c r="J178" s="5" t="str">
        <f t="shared" si="42"/>
        <v>Ordinary shareholders' equity</v>
      </c>
      <c r="K178">
        <f t="shared" si="43"/>
        <v>0.59053878277538163</v>
      </c>
      <c r="L178">
        <f t="shared" si="43"/>
        <v>0.43024034073623363</v>
      </c>
      <c r="S178">
        <f>S161</f>
        <v>2016</v>
      </c>
      <c r="T178">
        <f>T161</f>
        <v>2015</v>
      </c>
      <c r="X178" s="5" t="s">
        <v>96</v>
      </c>
      <c r="Y178" t="s">
        <v>50</v>
      </c>
      <c r="AA178">
        <v>-1</v>
      </c>
      <c r="AB178">
        <v>21</v>
      </c>
    </row>
    <row r="179" spans="10:28" x14ac:dyDescent="0.3">
      <c r="J179" s="5" t="str">
        <f t="shared" si="42"/>
        <v>Assets held for sale, net of liab.</v>
      </c>
      <c r="K179">
        <f t="shared" si="43"/>
        <v>-1.6156637228725953E-2</v>
      </c>
      <c r="L179">
        <f t="shared" si="43"/>
        <v>-8.1533313051414657E-3</v>
      </c>
      <c r="S179" t="s">
        <v>94</v>
      </c>
      <c r="T179" t="s">
        <v>94</v>
      </c>
      <c r="X179" s="5" t="s">
        <v>95</v>
      </c>
      <c r="Y179" t="s">
        <v>50</v>
      </c>
      <c r="AA179">
        <v>-77</v>
      </c>
      <c r="AB179">
        <v>-382</v>
      </c>
    </row>
    <row r="180" spans="10:28" x14ac:dyDescent="0.3">
      <c r="J180" s="5" t="str">
        <f t="shared" si="42"/>
        <v>Non-controlling interests</v>
      </c>
      <c r="K180">
        <f t="shared" si="43"/>
        <v>-6.8460327240364206E-4</v>
      </c>
      <c r="L180">
        <f t="shared" si="43"/>
        <v>0</v>
      </c>
      <c r="R180" s="5" t="s">
        <v>92</v>
      </c>
      <c r="X180" s="5" t="s">
        <v>93</v>
      </c>
      <c r="Y180" t="s">
        <v>48</v>
      </c>
      <c r="AA180">
        <v>-2894</v>
      </c>
      <c r="AB180">
        <v>423</v>
      </c>
    </row>
    <row r="181" spans="10:28" x14ac:dyDescent="0.3">
      <c r="J181" s="5" t="str">
        <f t="shared" si="42"/>
        <v>Total</v>
      </c>
      <c r="K181">
        <f t="shared" si="43"/>
        <v>1</v>
      </c>
      <c r="L181">
        <f t="shared" si="43"/>
        <v>1</v>
      </c>
      <c r="R181" s="5" t="s">
        <v>90</v>
      </c>
      <c r="S181">
        <f>AA180+AA181</f>
        <v>-2997</v>
      </c>
      <c r="T181">
        <f>AB180+AB181</f>
        <v>471</v>
      </c>
      <c r="X181" s="5" t="s">
        <v>91</v>
      </c>
      <c r="Y181" t="s">
        <v>48</v>
      </c>
      <c r="AA181">
        <v>-103</v>
      </c>
      <c r="AB181">
        <v>48</v>
      </c>
    </row>
    <row r="182" spans="10:28" x14ac:dyDescent="0.3">
      <c r="R182" s="5" t="str">
        <f>X184</f>
        <v>Interest received, after tax</v>
      </c>
      <c r="S182">
        <f>AA184</f>
        <v>3</v>
      </c>
      <c r="T182">
        <f>AB184</f>
        <v>96</v>
      </c>
      <c r="X182" s="5" t="s">
        <v>89</v>
      </c>
      <c r="Y182" t="s">
        <v>50</v>
      </c>
      <c r="AA182">
        <v>41</v>
      </c>
      <c r="AB182">
        <v>88</v>
      </c>
    </row>
    <row r="183" spans="10:28" x14ac:dyDescent="0.3">
      <c r="R183" s="5" t="s">
        <v>77</v>
      </c>
      <c r="S183">
        <f>AA191</f>
        <v>154</v>
      </c>
      <c r="T183">
        <f>AB191</f>
        <v>-6</v>
      </c>
      <c r="X183" s="5" t="s">
        <v>88</v>
      </c>
      <c r="AA183">
        <v>3</v>
      </c>
      <c r="AB183">
        <v>104</v>
      </c>
    </row>
    <row r="184" spans="10:28" x14ac:dyDescent="0.3">
      <c r="R184" s="5" t="str">
        <f>X203</f>
        <v>Change in financing cash</v>
      </c>
      <c r="S184">
        <f>AA203</f>
        <v>-717</v>
      </c>
      <c r="T184">
        <f>AB203</f>
        <v>214</v>
      </c>
      <c r="X184" s="5" t="s">
        <v>87</v>
      </c>
      <c r="Y184" t="s">
        <v>48</v>
      </c>
      <c r="AA184">
        <f>ROUND(AA183*(1-S127),0)</f>
        <v>3</v>
      </c>
      <c r="AB184">
        <f>ROUND(AB183*(1-T127),0)</f>
        <v>96</v>
      </c>
    </row>
    <row r="185" spans="10:28" x14ac:dyDescent="0.3">
      <c r="R185" s="5" t="str">
        <f>X200</f>
        <v>Effect of exchange rate changes</v>
      </c>
      <c r="S185">
        <f>AA200</f>
        <v>1</v>
      </c>
      <c r="T185">
        <f>AB200</f>
        <v>78</v>
      </c>
      <c r="X185" s="5" t="s">
        <v>86</v>
      </c>
      <c r="Y185" t="s">
        <v>51</v>
      </c>
      <c r="AA185">
        <f>AA183-AA184</f>
        <v>0</v>
      </c>
      <c r="AB185">
        <f>AB183-AB184</f>
        <v>8</v>
      </c>
    </row>
    <row r="186" spans="10:28" x14ac:dyDescent="0.3">
      <c r="R186" s="5" t="s">
        <v>84</v>
      </c>
      <c r="S186">
        <f>SUM(S181:S185)</f>
        <v>-3556</v>
      </c>
      <c r="T186">
        <f>SUM(T181:T185)</f>
        <v>853</v>
      </c>
      <c r="X186" s="5" t="s">
        <v>85</v>
      </c>
      <c r="AA186">
        <f>SUM(AA172:AA183)</f>
        <v>-615</v>
      </c>
      <c r="AB186">
        <f>SUM(AB172:AB183)</f>
        <v>-2015</v>
      </c>
    </row>
    <row r="187" spans="10:28" x14ac:dyDescent="0.3">
      <c r="R187" s="5" t="s">
        <v>82</v>
      </c>
      <c r="X187" s="5" t="s">
        <v>83</v>
      </c>
    </row>
    <row r="188" spans="10:28" x14ac:dyDescent="0.3">
      <c r="R188" s="5" t="s">
        <v>80</v>
      </c>
      <c r="S188">
        <f>AA189</f>
        <v>586</v>
      </c>
      <c r="T188">
        <f>AB189</f>
        <v>4889</v>
      </c>
      <c r="X188" s="5" t="s">
        <v>81</v>
      </c>
      <c r="Y188" t="s">
        <v>46</v>
      </c>
      <c r="AA188">
        <v>1</v>
      </c>
      <c r="AB188">
        <v>15</v>
      </c>
    </row>
    <row r="189" spans="10:28" x14ac:dyDescent="0.3">
      <c r="R189" s="5" t="s">
        <v>79</v>
      </c>
      <c r="S189">
        <f>AA190</f>
        <v>-1328</v>
      </c>
      <c r="T189">
        <f>AB190</f>
        <v>-3185</v>
      </c>
      <c r="X189" s="5" t="s">
        <v>80</v>
      </c>
      <c r="Y189" t="s">
        <v>47</v>
      </c>
      <c r="AA189">
        <v>586</v>
      </c>
      <c r="AB189">
        <v>4889</v>
      </c>
    </row>
    <row r="190" spans="10:28" x14ac:dyDescent="0.3">
      <c r="R190" s="5" t="s">
        <v>78</v>
      </c>
      <c r="S190">
        <f>AA192</f>
        <v>-17</v>
      </c>
      <c r="T190">
        <f>AB192</f>
        <v>-3</v>
      </c>
      <c r="X190" s="5" t="s">
        <v>79</v>
      </c>
      <c r="Y190" t="s">
        <v>47</v>
      </c>
      <c r="AA190">
        <v>-1328</v>
      </c>
      <c r="AB190">
        <v>-3185</v>
      </c>
    </row>
    <row r="191" spans="10:28" x14ac:dyDescent="0.3">
      <c r="R191" s="5" t="str">
        <f>X167</f>
        <v>Interest paid, after tax</v>
      </c>
      <c r="S191">
        <f>AA167</f>
        <v>-414</v>
      </c>
      <c r="T191">
        <f>AB167</f>
        <v>-565</v>
      </c>
      <c r="X191" s="5" t="s">
        <v>77</v>
      </c>
      <c r="Y191" t="s">
        <v>48</v>
      </c>
      <c r="AA191">
        <v>154</v>
      </c>
      <c r="AB191">
        <v>-6</v>
      </c>
    </row>
    <row r="192" spans="10:28" x14ac:dyDescent="0.3">
      <c r="R192" s="5" t="s">
        <v>75</v>
      </c>
      <c r="S192">
        <f>SUM(S188:S191)</f>
        <v>-1173</v>
      </c>
      <c r="T192">
        <f>SUM(T188:T191)</f>
        <v>1136</v>
      </c>
      <c r="X192" s="5" t="s">
        <v>76</v>
      </c>
      <c r="Y192" t="s">
        <v>47</v>
      </c>
      <c r="AA192">
        <v>-17</v>
      </c>
      <c r="AB192">
        <v>-3</v>
      </c>
    </row>
    <row r="193" spans="18:29" x14ac:dyDescent="0.3">
      <c r="R193" s="5" t="s">
        <v>73</v>
      </c>
      <c r="X193" s="5" t="s">
        <v>74</v>
      </c>
      <c r="Y193" t="s">
        <v>45</v>
      </c>
      <c r="AA193">
        <v>0</v>
      </c>
      <c r="AB193">
        <v>18</v>
      </c>
    </row>
    <row r="194" spans="18:29" x14ac:dyDescent="0.3">
      <c r="R194" s="5" t="str">
        <f>X188</f>
        <v>Issue of ordinary share capital</v>
      </c>
      <c r="S194">
        <f>AA188</f>
        <v>1</v>
      </c>
      <c r="T194">
        <f>AB188</f>
        <v>15</v>
      </c>
      <c r="X194" s="5" t="s">
        <v>72</v>
      </c>
      <c r="Y194" t="s">
        <v>46</v>
      </c>
      <c r="AA194">
        <v>0</v>
      </c>
      <c r="AB194">
        <v>-914</v>
      </c>
    </row>
    <row r="195" spans="18:29" x14ac:dyDescent="0.3">
      <c r="R195" s="5" t="s">
        <v>70</v>
      </c>
      <c r="S195">
        <f>AA196</f>
        <v>0</v>
      </c>
      <c r="T195">
        <f>AB196</f>
        <v>0</v>
      </c>
      <c r="X195" s="5" t="s">
        <v>71</v>
      </c>
      <c r="Y195" t="s">
        <v>45</v>
      </c>
      <c r="AA195">
        <v>0</v>
      </c>
      <c r="AB195">
        <v>0</v>
      </c>
    </row>
    <row r="196" spans="18:29" x14ac:dyDescent="0.3">
      <c r="R196" s="5" t="s">
        <v>68</v>
      </c>
      <c r="S196">
        <f>AA194</f>
        <v>0</v>
      </c>
      <c r="T196">
        <f>AB194</f>
        <v>-914</v>
      </c>
      <c r="X196" s="5" t="s">
        <v>69</v>
      </c>
      <c r="AA196">
        <v>0</v>
      </c>
      <c r="AB196">
        <v>0</v>
      </c>
    </row>
    <row r="197" spans="18:29" x14ac:dyDescent="0.3">
      <c r="R197" s="5" t="s">
        <v>66</v>
      </c>
      <c r="S197">
        <f>SUM(S194:S196)</f>
        <v>1</v>
      </c>
      <c r="T197">
        <f>SUM(T194:T196)</f>
        <v>-899</v>
      </c>
      <c r="X197" s="5" t="s">
        <v>67</v>
      </c>
      <c r="AA197">
        <f>SUM(AA188:AA196)</f>
        <v>-604</v>
      </c>
      <c r="AB197">
        <f>SUM(AB188:AB196)</f>
        <v>814</v>
      </c>
    </row>
    <row r="198" spans="18:29" x14ac:dyDescent="0.3">
      <c r="R198" s="5" t="s">
        <v>64</v>
      </c>
      <c r="S198">
        <f>AA195+AA193</f>
        <v>0</v>
      </c>
      <c r="T198">
        <f>AB195+AB193</f>
        <v>18</v>
      </c>
      <c r="X198" s="5" t="s">
        <v>65</v>
      </c>
      <c r="AA198">
        <f>AA170+AA186+AA197</f>
        <v>907</v>
      </c>
      <c r="AB198">
        <f>AB170+AB186+AB197</f>
        <v>-717</v>
      </c>
    </row>
    <row r="199" spans="18:29" x14ac:dyDescent="0.3">
      <c r="R199" s="5" t="s">
        <v>62</v>
      </c>
      <c r="S199">
        <f>SUM(S186,S192,S197,S198)</f>
        <v>-4728</v>
      </c>
      <c r="T199">
        <f>SUM(T186,T192,T197,T198)</f>
        <v>1108</v>
      </c>
      <c r="X199" s="5" t="s">
        <v>63</v>
      </c>
      <c r="AA199">
        <f>AB201</f>
        <v>2174</v>
      </c>
      <c r="AB199">
        <v>2813</v>
      </c>
    </row>
    <row r="200" spans="18:29" x14ac:dyDescent="0.3">
      <c r="R200" s="5" t="str">
        <f>X205</f>
        <v>Change of cash held in disposal groups</v>
      </c>
      <c r="S200">
        <f>AA205</f>
        <v>9</v>
      </c>
      <c r="T200">
        <f>AB205</f>
        <v>298</v>
      </c>
      <c r="X200" s="5" t="s">
        <v>61</v>
      </c>
      <c r="Y200" t="s">
        <v>48</v>
      </c>
      <c r="AA200">
        <v>1</v>
      </c>
      <c r="AB200">
        <v>78</v>
      </c>
    </row>
    <row r="201" spans="18:29" x14ac:dyDescent="0.3">
      <c r="R201" s="5" t="s">
        <v>59</v>
      </c>
      <c r="S201">
        <f>SUM(S199:S200)</f>
        <v>-4719</v>
      </c>
      <c r="T201">
        <f>SUM(T199:T200)</f>
        <v>1406</v>
      </c>
      <c r="X201" s="5" t="s">
        <v>60</v>
      </c>
      <c r="AA201">
        <f>SUM(AA198:AA200)</f>
        <v>3082</v>
      </c>
      <c r="AB201">
        <f>SUM(AB198:AB200)</f>
        <v>2174</v>
      </c>
    </row>
    <row r="202" spans="18:29" x14ac:dyDescent="0.3">
      <c r="R202" s="5" t="s">
        <v>57</v>
      </c>
      <c r="S202">
        <f>S176+S201</f>
        <v>0</v>
      </c>
      <c r="T202">
        <f>T176+T201</f>
        <v>0</v>
      </c>
      <c r="X202" s="5" t="s">
        <v>58</v>
      </c>
      <c r="Y202" t="s">
        <v>50</v>
      </c>
      <c r="AA202">
        <f>-(S7-T7)</f>
        <v>-200</v>
      </c>
      <c r="AB202">
        <f>-(T7-U7)</f>
        <v>127</v>
      </c>
    </row>
    <row r="203" spans="18:29" x14ac:dyDescent="0.3">
      <c r="X203" s="5" t="s">
        <v>56</v>
      </c>
      <c r="Y203" t="s">
        <v>48</v>
      </c>
      <c r="AA203">
        <f>S35-T35</f>
        <v>-717</v>
      </c>
      <c r="AB203">
        <f>T35-U35</f>
        <v>214</v>
      </c>
    </row>
    <row r="204" spans="18:29" x14ac:dyDescent="0.3">
      <c r="X204" s="5" t="s">
        <v>55</v>
      </c>
      <c r="AA204">
        <v>0</v>
      </c>
      <c r="AB204">
        <v>-9</v>
      </c>
      <c r="AC204">
        <v>-307</v>
      </c>
    </row>
    <row r="205" spans="18:29" x14ac:dyDescent="0.3">
      <c r="R205" s="5" t="str">
        <f>"Further decomposition of """&amp;R164&amp;""""</f>
        <v>Further decomposition of "Cash generated from operations"</v>
      </c>
      <c r="X205" s="5" t="s">
        <v>54</v>
      </c>
      <c r="Y205" t="s">
        <v>45</v>
      </c>
      <c r="AA205">
        <f>AA204-AB204</f>
        <v>9</v>
      </c>
      <c r="AB205">
        <f>AB204-AC204</f>
        <v>298</v>
      </c>
    </row>
    <row r="206" spans="18:29" x14ac:dyDescent="0.3">
      <c r="R206" s="5" t="s">
        <v>266</v>
      </c>
      <c r="X206" s="5" t="s">
        <v>53</v>
      </c>
      <c r="AA206">
        <f>AA201+AA204</f>
        <v>3082</v>
      </c>
      <c r="AB206">
        <f>AB201+AB204</f>
        <v>2165</v>
      </c>
    </row>
    <row r="207" spans="18:29" x14ac:dyDescent="0.3">
      <c r="R207" s="5" t="s">
        <v>300</v>
      </c>
      <c r="S207">
        <f>AA218</f>
        <v>2231</v>
      </c>
      <c r="T207">
        <f>AB218</f>
        <v>715</v>
      </c>
    </row>
    <row r="208" spans="18:29" x14ac:dyDescent="0.3">
      <c r="R208" s="5" t="s">
        <v>52</v>
      </c>
      <c r="S208">
        <f>AA219</f>
        <v>350</v>
      </c>
      <c r="T208">
        <f>AB219</f>
        <v>1145</v>
      </c>
      <c r="Y208" t="s">
        <v>51</v>
      </c>
      <c r="AA208">
        <f t="shared" ref="AA208:AB213" si="44">SUMIFS(AA$164:AA$206,$Y$164:$Y$206,"="&amp;$Y208)</f>
        <v>2540</v>
      </c>
      <c r="AB208">
        <f t="shared" si="44"/>
        <v>1057</v>
      </c>
    </row>
    <row r="209" spans="18:29" x14ac:dyDescent="0.3">
      <c r="S209">
        <f>SUM(S207:S208)</f>
        <v>2581</v>
      </c>
      <c r="T209">
        <f>SUM(T207:T208)</f>
        <v>1860</v>
      </c>
      <c r="Y209" t="s">
        <v>50</v>
      </c>
      <c r="AA209">
        <f t="shared" si="44"/>
        <v>2179</v>
      </c>
      <c r="AB209">
        <f t="shared" si="44"/>
        <v>-2463</v>
      </c>
    </row>
    <row r="210" spans="18:29" x14ac:dyDescent="0.3">
      <c r="R210" s="5" t="s">
        <v>49</v>
      </c>
      <c r="Y210" t="s">
        <v>48</v>
      </c>
      <c r="AA210">
        <f t="shared" si="44"/>
        <v>-3556</v>
      </c>
      <c r="AB210">
        <f t="shared" si="44"/>
        <v>853</v>
      </c>
    </row>
    <row r="211" spans="18:29" x14ac:dyDescent="0.3">
      <c r="R211" s="5" t="str">
        <f>R207</f>
        <v>Cash flow from operations excluding working capital</v>
      </c>
      <c r="S211">
        <f>AA221</f>
        <v>371</v>
      </c>
      <c r="T211">
        <f>AB221</f>
        <v>342</v>
      </c>
      <c r="Y211" t="s">
        <v>47</v>
      </c>
      <c r="AA211">
        <f t="shared" si="44"/>
        <v>-1173</v>
      </c>
      <c r="AB211">
        <f t="shared" si="44"/>
        <v>1136</v>
      </c>
    </row>
    <row r="212" spans="18:29" x14ac:dyDescent="0.3">
      <c r="R212" s="5" t="str">
        <f>R208</f>
        <v>Change in working capital</v>
      </c>
      <c r="S212">
        <f>AA222</f>
        <v>-518</v>
      </c>
      <c r="T212">
        <f>AB222</f>
        <v>-735</v>
      </c>
      <c r="Y212" t="s">
        <v>46</v>
      </c>
      <c r="AA212">
        <f t="shared" si="44"/>
        <v>1</v>
      </c>
      <c r="AB212">
        <f t="shared" si="44"/>
        <v>-899</v>
      </c>
    </row>
    <row r="213" spans="18:29" x14ac:dyDescent="0.3">
      <c r="S213">
        <f>SUM(S211:S212)</f>
        <v>-147</v>
      </c>
      <c r="T213">
        <f>SUM(T211:T212)</f>
        <v>-393</v>
      </c>
      <c r="Y213" t="s">
        <v>45</v>
      </c>
      <c r="AA213">
        <f t="shared" si="44"/>
        <v>9</v>
      </c>
      <c r="AB213">
        <f t="shared" si="44"/>
        <v>316</v>
      </c>
    </row>
    <row r="214" spans="18:29" x14ac:dyDescent="0.3">
      <c r="R214" s="5" t="str">
        <f>R164</f>
        <v>Cash generated from operations</v>
      </c>
      <c r="S214">
        <f>S209+S213</f>
        <v>2434</v>
      </c>
      <c r="T214">
        <f>T209+T213</f>
        <v>1467</v>
      </c>
      <c r="AA214">
        <f>SUM(AA208:AA213)</f>
        <v>0</v>
      </c>
      <c r="AB214">
        <f>SUM(AB208:AB213)</f>
        <v>0</v>
      </c>
    </row>
    <row r="215" spans="18:29" x14ac:dyDescent="0.3">
      <c r="R215" s="5" t="s">
        <v>57</v>
      </c>
      <c r="S215">
        <f>S214-S164</f>
        <v>0</v>
      </c>
      <c r="T215">
        <f>T214-T164</f>
        <v>0</v>
      </c>
    </row>
    <row r="216" spans="18:29" x14ac:dyDescent="0.3">
      <c r="X216" s="5" t="str">
        <f>X123</f>
        <v>Note 2: Segment reporting</v>
      </c>
    </row>
    <row r="217" spans="18:29" x14ac:dyDescent="0.3">
      <c r="X217" s="5" t="s">
        <v>266</v>
      </c>
    </row>
    <row r="218" spans="18:29" x14ac:dyDescent="0.3">
      <c r="X218" s="5" t="s">
        <v>312</v>
      </c>
      <c r="AA218">
        <v>2231</v>
      </c>
      <c r="AB218">
        <v>715</v>
      </c>
    </row>
    <row r="219" spans="18:29" x14ac:dyDescent="0.3">
      <c r="X219" s="5" t="s">
        <v>313</v>
      </c>
      <c r="AA219">
        <v>350</v>
      </c>
      <c r="AB219">
        <v>1145</v>
      </c>
    </row>
    <row r="220" spans="18:29" x14ac:dyDescent="0.3">
      <c r="X220" s="5" t="s">
        <v>314</v>
      </c>
    </row>
    <row r="221" spans="18:29" x14ac:dyDescent="0.3">
      <c r="X221" s="5" t="s">
        <v>312</v>
      </c>
      <c r="AA221">
        <v>371</v>
      </c>
      <c r="AB221">
        <v>342</v>
      </c>
    </row>
    <row r="222" spans="18:29" x14ac:dyDescent="0.3">
      <c r="X222" s="5" t="s">
        <v>313</v>
      </c>
      <c r="AA222">
        <v>-518</v>
      </c>
      <c r="AB222">
        <v>-735</v>
      </c>
    </row>
    <row r="224" spans="18:29" x14ac:dyDescent="0.3">
      <c r="X224" s="5" t="s">
        <v>33</v>
      </c>
      <c r="AA224">
        <f>94*0.09290304</f>
        <v>8.7328857600000003</v>
      </c>
      <c r="AB224">
        <f>95.587*0.09290304</f>
        <v>8.8803228844800017</v>
      </c>
      <c r="AC224">
        <f>109.077*0.09290304</f>
        <v>10.13358489408</v>
      </c>
    </row>
    <row r="225" spans="24:29" x14ac:dyDescent="0.3">
      <c r="X225" s="5" t="s">
        <v>32</v>
      </c>
      <c r="AB225">
        <f>109.034*0.09290304</f>
        <v>10.129590063360002</v>
      </c>
    </row>
    <row r="229" spans="24:29" x14ac:dyDescent="0.3">
      <c r="X229" s="5" t="s">
        <v>326</v>
      </c>
    </row>
    <row r="230" spans="24:29" x14ac:dyDescent="0.3">
      <c r="AA230">
        <f>AA2</f>
        <v>2016</v>
      </c>
      <c r="AB230">
        <f>AB2</f>
        <v>2015</v>
      </c>
      <c r="AC230">
        <f>AC2</f>
        <v>2014</v>
      </c>
    </row>
    <row r="231" spans="24:29" x14ac:dyDescent="0.3">
      <c r="X231" s="5" t="s">
        <v>327</v>
      </c>
      <c r="AA231">
        <f>AA99</f>
        <v>138</v>
      </c>
      <c r="AB231">
        <f>AB99</f>
        <v>-5741</v>
      </c>
      <c r="AC231">
        <f>AC99</f>
        <v>974</v>
      </c>
    </row>
    <row r="232" spans="24:29" x14ac:dyDescent="0.3">
      <c r="X232" s="5" t="s">
        <v>328</v>
      </c>
      <c r="AA232">
        <v>1132</v>
      </c>
      <c r="AB232">
        <v>-1109</v>
      </c>
      <c r="AC232">
        <v>-1822</v>
      </c>
    </row>
    <row r="233" spans="24:29" x14ac:dyDescent="0.3">
      <c r="X233" s="5" t="s">
        <v>329</v>
      </c>
      <c r="AA233">
        <v>-5</v>
      </c>
    </row>
    <row r="234" spans="24:29" x14ac:dyDescent="0.3">
      <c r="X234" s="5" t="s">
        <v>330</v>
      </c>
      <c r="AA234">
        <v>288</v>
      </c>
      <c r="AB234">
        <v>120</v>
      </c>
      <c r="AC234">
        <v>59</v>
      </c>
    </row>
    <row r="235" spans="24:29" x14ac:dyDescent="0.3">
      <c r="X235" s="5" t="s">
        <v>331</v>
      </c>
      <c r="AA235">
        <v>0</v>
      </c>
      <c r="AB235">
        <v>-15</v>
      </c>
      <c r="AC235">
        <v>-12</v>
      </c>
    </row>
    <row r="236" spans="24:29" x14ac:dyDescent="0.3">
      <c r="X236" s="5" t="s">
        <v>332</v>
      </c>
      <c r="AA236">
        <v>2</v>
      </c>
      <c r="AB236">
        <v>15</v>
      </c>
      <c r="AC236">
        <v>62</v>
      </c>
    </row>
    <row r="237" spans="24:29" x14ac:dyDescent="0.3">
      <c r="X237" s="5" t="s">
        <v>333</v>
      </c>
      <c r="AA237">
        <v>0</v>
      </c>
      <c r="AB237">
        <v>-914</v>
      </c>
      <c r="AC237">
        <v>-1189</v>
      </c>
    </row>
    <row r="238" spans="24:29" x14ac:dyDescent="0.3">
      <c r="X238" s="5" t="s">
        <v>334</v>
      </c>
      <c r="AA238">
        <f>SUM(AA231:AA237)</f>
        <v>1555</v>
      </c>
      <c r="AB238">
        <f>SUM(AB231:AB237)</f>
        <v>-7644</v>
      </c>
      <c r="AC238">
        <f>SUM(AC231:AC237)</f>
        <v>-1928</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5CE38-1B09-414F-8DC8-12A9DAB32063}">
  <dimension ref="A1:Q85"/>
  <sheetViews>
    <sheetView tabSelected="1" topLeftCell="A49" zoomScale="160" zoomScaleNormal="160" workbookViewId="0">
      <selection activeCell="A5" sqref="A5:XFD5"/>
    </sheetView>
  </sheetViews>
  <sheetFormatPr defaultRowHeight="14.4" x14ac:dyDescent="0.3"/>
  <cols>
    <col min="1" max="1" width="11" customWidth="1"/>
    <col min="2" max="2" width="45.6640625" bestFit="1" customWidth="1"/>
    <col min="3" max="3" width="24.77734375" bestFit="1" customWidth="1"/>
    <col min="4" max="4" width="10.88671875" bestFit="1" customWidth="1"/>
    <col min="5" max="5" width="12" bestFit="1" customWidth="1"/>
    <col min="6" max="6" width="12.44140625" customWidth="1"/>
    <col min="7" max="10" width="12" bestFit="1" customWidth="1"/>
    <col min="11" max="12" width="11.6640625" customWidth="1"/>
    <col min="13" max="13" width="11" customWidth="1"/>
    <col min="14" max="14" width="10.77734375" customWidth="1"/>
  </cols>
  <sheetData>
    <row r="1" spans="1:17" x14ac:dyDescent="0.3">
      <c r="A1" s="5" t="s">
        <v>362</v>
      </c>
      <c r="B1" s="5"/>
      <c r="C1" s="5"/>
      <c r="D1" s="5"/>
      <c r="E1" s="5"/>
      <c r="F1" s="5" t="s">
        <v>363</v>
      </c>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t="str">
        <f>"Market data ("&amp;TEXT(D19-1,"dd/mm/yyyy")&amp;")"</f>
        <v>Market data (29/04/2016)</v>
      </c>
      <c r="G3" s="5"/>
      <c r="H3" s="5"/>
      <c r="I3" s="5"/>
      <c r="J3" s="5" t="str">
        <f>"Past accounting data ("&amp;M7&amp;")"</f>
        <v>Past accounting data (2015/16A)</v>
      </c>
      <c r="K3" s="5"/>
      <c r="L3" s="5"/>
      <c r="M3" s="5" t="str">
        <f>"Normalized EPS, i.e., NP from cont. op., attr. to O/S "&amp;E7</f>
        <v>Normalized EPS, i.e., NP from cont. op., attr. to O/S (£/€)</v>
      </c>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t="s">
        <v>364</v>
      </c>
      <c r="D6" s="5"/>
      <c r="E6" s="5" t="s">
        <v>365</v>
      </c>
      <c r="F6" s="5" t="s">
        <v>366</v>
      </c>
      <c r="G6" s="5" t="s">
        <v>367</v>
      </c>
      <c r="H6" s="5" t="s">
        <v>231</v>
      </c>
      <c r="I6" s="5" t="s">
        <v>368</v>
      </c>
      <c r="J6" s="5" t="s">
        <v>369</v>
      </c>
      <c r="K6" s="5" t="s">
        <v>370</v>
      </c>
      <c r="L6" s="5" t="s">
        <v>371</v>
      </c>
      <c r="M6" s="5"/>
      <c r="N6" s="5"/>
      <c r="O6" s="5"/>
      <c r="P6" s="5"/>
      <c r="Q6" s="5"/>
    </row>
    <row r="7" spans="1:17" x14ac:dyDescent="0.3">
      <c r="A7" t="s">
        <v>372</v>
      </c>
      <c r="B7" t="s">
        <v>373</v>
      </c>
      <c r="C7" t="s">
        <v>374</v>
      </c>
      <c r="D7" t="s">
        <v>375</v>
      </c>
      <c r="E7" t="s">
        <v>376</v>
      </c>
      <c r="F7" t="s">
        <v>377</v>
      </c>
      <c r="G7" t="s">
        <v>378</v>
      </c>
      <c r="H7" t="s">
        <v>614</v>
      </c>
      <c r="I7" t="s">
        <v>615</v>
      </c>
      <c r="J7" t="s">
        <v>616</v>
      </c>
      <c r="K7" t="s">
        <v>617</v>
      </c>
      <c r="L7" t="s">
        <v>618</v>
      </c>
      <c r="M7" t="s">
        <v>379</v>
      </c>
      <c r="N7" t="s">
        <v>380</v>
      </c>
    </row>
    <row r="8" spans="1:17" x14ac:dyDescent="0.3">
      <c r="A8" t="s">
        <v>294</v>
      </c>
      <c r="B8" t="s">
        <v>381</v>
      </c>
      <c r="C8" t="s">
        <v>382</v>
      </c>
      <c r="D8" t="s">
        <v>383</v>
      </c>
      <c r="E8">
        <v>1.98</v>
      </c>
      <c r="F8">
        <v>8126</v>
      </c>
      <c r="G8">
        <f t="shared" ref="G8:G17" si="0">E8*F8</f>
        <v>16089.48</v>
      </c>
      <c r="H8">
        <v>43904</v>
      </c>
      <c r="I8">
        <f>'[1]Pro forma'!D39</f>
        <v>6227</v>
      </c>
      <c r="J8">
        <f>'[1]Pro forma'!D13</f>
        <v>54433</v>
      </c>
      <c r="K8">
        <f>'[1]Pro forma'!D15+'[1]Pro forma'!D18</f>
        <v>2380</v>
      </c>
      <c r="L8">
        <f>'[1]Pro forma'!D40</f>
        <v>8626</v>
      </c>
      <c r="M8">
        <f>'[1]Pro forma'!D25/$F$8</f>
        <v>1.7035265989240888E-2</v>
      </c>
      <c r="N8">
        <f>'[1]Pro forma'!E25/$F$8</f>
        <v>6.4362062515382762E-2</v>
      </c>
    </row>
    <row r="9" spans="1:17" x14ac:dyDescent="0.3">
      <c r="A9" t="s">
        <v>384</v>
      </c>
      <c r="B9" t="s">
        <v>385</v>
      </c>
      <c r="C9" t="s">
        <v>386</v>
      </c>
      <c r="D9" t="s">
        <v>387</v>
      </c>
      <c r="E9">
        <v>20.239999999999998</v>
      </c>
      <c r="F9">
        <v>1268</v>
      </c>
      <c r="G9">
        <f t="shared" si="0"/>
        <v>25664.32</v>
      </c>
      <c r="H9">
        <v>15880</v>
      </c>
      <c r="I9">
        <f>(3142-2422)</f>
        <v>720</v>
      </c>
      <c r="J9">
        <f>38203</f>
        <v>38203</v>
      </c>
      <c r="K9">
        <f>(1318+857)</f>
        <v>2175</v>
      </c>
      <c r="L9">
        <f>(5622+1)</f>
        <v>5623</v>
      </c>
      <c r="M9">
        <v>1.25</v>
      </c>
      <c r="N9">
        <v>1.1200000000000001</v>
      </c>
    </row>
    <row r="10" spans="1:17" x14ac:dyDescent="0.3">
      <c r="A10" t="s">
        <v>388</v>
      </c>
      <c r="B10" t="s">
        <v>389</v>
      </c>
      <c r="C10" t="s">
        <v>382</v>
      </c>
      <c r="D10" t="s">
        <v>383</v>
      </c>
      <c r="E10">
        <v>2.0659999999999998</v>
      </c>
      <c r="F10">
        <v>1786</v>
      </c>
      <c r="G10">
        <f t="shared" si="0"/>
        <v>3689.8759999999997</v>
      </c>
      <c r="H10">
        <v>1386</v>
      </c>
      <c r="I10">
        <f>-127</f>
        <v>-127</v>
      </c>
      <c r="J10">
        <f>4992</f>
        <v>4992</v>
      </c>
      <c r="K10">
        <f>(153+24)</f>
        <v>177</v>
      </c>
      <c r="L10">
        <f>590</f>
        <v>590</v>
      </c>
      <c r="M10">
        <v>7.0000000000000007E-2</v>
      </c>
      <c r="N10">
        <v>7.9500000000000001E-2</v>
      </c>
    </row>
    <row r="11" spans="1:17" x14ac:dyDescent="0.3">
      <c r="A11" t="s">
        <v>295</v>
      </c>
      <c r="B11" t="s">
        <v>390</v>
      </c>
      <c r="C11" t="s">
        <v>391</v>
      </c>
      <c r="D11" t="s">
        <v>387</v>
      </c>
      <c r="E11">
        <v>22.53</v>
      </c>
      <c r="F11">
        <v>758</v>
      </c>
      <c r="G11">
        <f t="shared" si="0"/>
        <v>17077.740000000002</v>
      </c>
      <c r="H11">
        <v>45095</v>
      </c>
      <c r="I11">
        <v>4539</v>
      </c>
      <c r="J11">
        <v>78857</v>
      </c>
      <c r="K11">
        <v>3615</v>
      </c>
      <c r="L11">
        <v>9633</v>
      </c>
      <c r="M11">
        <v>1.64</v>
      </c>
      <c r="N11">
        <v>1.52</v>
      </c>
    </row>
    <row r="12" spans="1:17" x14ac:dyDescent="0.3">
      <c r="A12" t="s">
        <v>392</v>
      </c>
      <c r="B12" t="s">
        <v>393</v>
      </c>
      <c r="C12" t="s">
        <v>391</v>
      </c>
      <c r="D12" t="s">
        <v>387</v>
      </c>
      <c r="E12">
        <v>51.03</v>
      </c>
      <c r="F12">
        <v>111</v>
      </c>
      <c r="G12">
        <f t="shared" si="0"/>
        <v>5664.33</v>
      </c>
      <c r="H12">
        <f>39833</f>
        <v>39833</v>
      </c>
      <c r="I12">
        <f>(11478-4691)</f>
        <v>6787</v>
      </c>
      <c r="J12">
        <f>46145</f>
        <v>46145</v>
      </c>
      <c r="K12">
        <f>(967+709)</f>
        <v>1676</v>
      </c>
      <c r="L12">
        <f>5883</f>
        <v>5883</v>
      </c>
      <c r="M12">
        <v>1.69</v>
      </c>
      <c r="N12">
        <v>2.31</v>
      </c>
    </row>
    <row r="13" spans="1:17" x14ac:dyDescent="0.3">
      <c r="A13" t="s">
        <v>394</v>
      </c>
      <c r="B13" t="s">
        <v>395</v>
      </c>
      <c r="C13" t="s">
        <v>396</v>
      </c>
      <c r="D13" t="s">
        <v>387</v>
      </c>
      <c r="E13">
        <v>45.83</v>
      </c>
      <c r="F13">
        <v>150</v>
      </c>
      <c r="G13">
        <f t="shared" si="0"/>
        <v>6874.5</v>
      </c>
      <c r="H13">
        <f>4019</f>
        <v>4019</v>
      </c>
      <c r="I13">
        <f>(33-458)</f>
        <v>-425</v>
      </c>
      <c r="J13">
        <f>9178</f>
        <v>9178</v>
      </c>
      <c r="K13">
        <f>(507+196)</f>
        <v>703</v>
      </c>
      <c r="L13">
        <f>2044</f>
        <v>2044</v>
      </c>
      <c r="M13">
        <v>2.4900000000000002</v>
      </c>
      <c r="N13">
        <v>1.0660000000000001</v>
      </c>
    </row>
    <row r="14" spans="1:17" x14ac:dyDescent="0.3">
      <c r="A14" t="s">
        <v>397</v>
      </c>
      <c r="B14" t="s">
        <v>397</v>
      </c>
      <c r="C14" t="s">
        <v>398</v>
      </c>
      <c r="D14" t="s">
        <v>387</v>
      </c>
      <c r="E14">
        <v>5.14</v>
      </c>
      <c r="F14">
        <v>621</v>
      </c>
      <c r="G14">
        <f t="shared" si="0"/>
        <v>3191.9399999999996</v>
      </c>
      <c r="H14">
        <v>3443</v>
      </c>
      <c r="I14">
        <f>(1294-170)</f>
        <v>1124</v>
      </c>
      <c r="J14">
        <f>8925</f>
        <v>8925</v>
      </c>
      <c r="K14">
        <f>(274+205)</f>
        <v>479</v>
      </c>
      <c r="L14">
        <f>313</f>
        <v>313</v>
      </c>
      <c r="M14">
        <v>-0.6</v>
      </c>
      <c r="N14">
        <v>0.2</v>
      </c>
    </row>
    <row r="15" spans="1:17" x14ac:dyDescent="0.3">
      <c r="A15" t="s">
        <v>399</v>
      </c>
      <c r="B15" t="s">
        <v>400</v>
      </c>
      <c r="C15" t="s">
        <v>401</v>
      </c>
      <c r="D15" t="s">
        <v>387</v>
      </c>
      <c r="E15">
        <v>31.11</v>
      </c>
      <c r="F15">
        <v>325</v>
      </c>
      <c r="G15">
        <f t="shared" si="0"/>
        <v>10110.75</v>
      </c>
      <c r="H15">
        <v>24952</v>
      </c>
      <c r="I15">
        <f>(4692-2829)</f>
        <v>1863</v>
      </c>
      <c r="J15">
        <f>58417</f>
        <v>58417</v>
      </c>
      <c r="K15">
        <f>(1513+801)</f>
        <v>2314</v>
      </c>
      <c r="L15">
        <f>5320</f>
        <v>5320</v>
      </c>
      <c r="M15">
        <v>1.88</v>
      </c>
      <c r="N15">
        <v>1.77</v>
      </c>
    </row>
    <row r="16" spans="1:17" x14ac:dyDescent="0.3">
      <c r="A16" t="s">
        <v>402</v>
      </c>
      <c r="B16" t="s">
        <v>403</v>
      </c>
      <c r="C16" t="s">
        <v>382</v>
      </c>
      <c r="D16" t="s">
        <v>383</v>
      </c>
      <c r="E16">
        <v>2.472</v>
      </c>
      <c r="F16">
        <v>2334</v>
      </c>
      <c r="G16">
        <f t="shared" si="0"/>
        <v>5769.6480000000001</v>
      </c>
      <c r="H16">
        <v>9307</v>
      </c>
      <c r="I16">
        <f>(2212-496)</f>
        <v>1716</v>
      </c>
      <c r="J16">
        <f>16122</f>
        <v>16122</v>
      </c>
      <c r="K16">
        <f>(314+286)</f>
        <v>600</v>
      </c>
      <c r="L16">
        <f>3756</f>
        <v>3756</v>
      </c>
      <c r="M16">
        <v>0.09</v>
      </c>
      <c r="N16">
        <v>0.1077</v>
      </c>
    </row>
    <row r="17" spans="1:14" x14ac:dyDescent="0.3">
      <c r="A17" t="s">
        <v>404</v>
      </c>
      <c r="B17" t="s">
        <v>405</v>
      </c>
      <c r="C17" t="s">
        <v>382</v>
      </c>
      <c r="D17" t="s">
        <v>383</v>
      </c>
      <c r="E17">
        <v>2.6459999999999999</v>
      </c>
      <c r="F17">
        <v>2203</v>
      </c>
      <c r="G17">
        <f t="shared" si="0"/>
        <v>5829.1379999999999</v>
      </c>
      <c r="H17">
        <v>16973</v>
      </c>
      <c r="I17">
        <f>(2413-1191)</f>
        <v>1222</v>
      </c>
      <c r="J17">
        <f>23506</f>
        <v>23506</v>
      </c>
      <c r="K17">
        <f>(707+559)</f>
        <v>1266</v>
      </c>
      <c r="L17">
        <f>6365</f>
        <v>6365</v>
      </c>
      <c r="M17">
        <v>0.23</v>
      </c>
      <c r="N17">
        <v>0.20200000000000001</v>
      </c>
    </row>
    <row r="19" spans="1:14" x14ac:dyDescent="0.3">
      <c r="B19" s="5" t="s">
        <v>406</v>
      </c>
      <c r="C19" s="5"/>
      <c r="D19" s="5" t="s">
        <v>543</v>
      </c>
      <c r="E19" s="5"/>
      <c r="F19" s="5"/>
      <c r="G19" s="5"/>
      <c r="H19" s="5"/>
      <c r="I19" s="5"/>
      <c r="J19" s="5"/>
    </row>
    <row r="20" spans="1:14" x14ac:dyDescent="0.3">
      <c r="B20" s="5"/>
      <c r="C20" s="5"/>
      <c r="D20" s="5"/>
      <c r="E20" s="5"/>
      <c r="F20" s="5"/>
      <c r="G20" s="5"/>
      <c r="H20" s="5"/>
      <c r="I20" s="5"/>
      <c r="J20" s="5"/>
    </row>
    <row r="21" spans="1:14" x14ac:dyDescent="0.3">
      <c r="B21" s="5" t="s">
        <v>407</v>
      </c>
      <c r="C21" s="5"/>
      <c r="D21" s="5"/>
      <c r="E21" s="5"/>
      <c r="F21" s="5"/>
      <c r="G21" s="5"/>
      <c r="H21" s="5"/>
      <c r="I21" s="5"/>
      <c r="J21" s="5"/>
    </row>
    <row r="22" spans="1:14" x14ac:dyDescent="0.3">
      <c r="B22" s="5"/>
      <c r="C22" s="5"/>
      <c r="D22" s="5"/>
      <c r="E22" s="5"/>
      <c r="F22" s="5" t="str">
        <f>F35&amp;" "&amp;G7</f>
        <v>Enterprise (£/€ mil.)</v>
      </c>
      <c r="G22" s="5"/>
      <c r="H22" s="5"/>
      <c r="I22" s="5" t="str">
        <f>I35&amp;" "&amp;E7</f>
        <v>Equity (£/€)</v>
      </c>
      <c r="J22" s="5"/>
    </row>
    <row r="23" spans="1:14" x14ac:dyDescent="0.3">
      <c r="C23" t="s">
        <v>604</v>
      </c>
      <c r="D23" t="s">
        <v>605</v>
      </c>
      <c r="E23" t="s">
        <v>408</v>
      </c>
      <c r="F23" t="s">
        <v>409</v>
      </c>
      <c r="G23" t="s">
        <v>410</v>
      </c>
      <c r="H23" t="s">
        <v>411</v>
      </c>
      <c r="I23" t="s">
        <v>412</v>
      </c>
      <c r="J23" t="s">
        <v>413</v>
      </c>
    </row>
    <row r="24" spans="1:14" x14ac:dyDescent="0.3">
      <c r="C24" t="str">
        <f t="shared" ref="C24:C33" si="1">A8</f>
        <v>Tesco</v>
      </c>
      <c r="E24">
        <f t="shared" ref="E24:E33" si="2">L8+I8</f>
        <v>14853</v>
      </c>
      <c r="F24">
        <f t="shared" ref="F24:G33" si="3">J8</f>
        <v>54433</v>
      </c>
      <c r="G24">
        <f t="shared" si="3"/>
        <v>2380</v>
      </c>
      <c r="H24">
        <f t="shared" ref="H24:H33" si="4">L8/F8</f>
        <v>1.0615308885060299</v>
      </c>
      <c r="I24">
        <f t="shared" ref="I24:J33" si="5">M8</f>
        <v>1.7035265989240888E-2</v>
      </c>
      <c r="J24">
        <f t="shared" si="5"/>
        <v>6.4362062515382762E-2</v>
      </c>
    </row>
    <row r="25" spans="1:14" x14ac:dyDescent="0.3">
      <c r="C25" t="str">
        <f t="shared" si="1"/>
        <v>Ahold</v>
      </c>
      <c r="E25">
        <f t="shared" si="2"/>
        <v>6343</v>
      </c>
      <c r="F25">
        <f t="shared" si="3"/>
        <v>38203</v>
      </c>
      <c r="G25">
        <f t="shared" si="3"/>
        <v>2175</v>
      </c>
      <c r="H25">
        <f t="shared" si="4"/>
        <v>4.4345425867507888</v>
      </c>
      <c r="I25">
        <f t="shared" si="5"/>
        <v>1.25</v>
      </c>
      <c r="J25">
        <f t="shared" si="5"/>
        <v>1.1200000000000001</v>
      </c>
    </row>
    <row r="26" spans="1:14" x14ac:dyDescent="0.3">
      <c r="C26" t="str">
        <f t="shared" si="1"/>
        <v>Booker</v>
      </c>
      <c r="E26">
        <f t="shared" si="2"/>
        <v>463</v>
      </c>
      <c r="F26">
        <f t="shared" si="3"/>
        <v>4992</v>
      </c>
      <c r="G26">
        <f t="shared" si="3"/>
        <v>177</v>
      </c>
      <c r="H26">
        <f t="shared" si="4"/>
        <v>0.3303471444568869</v>
      </c>
      <c r="I26">
        <f t="shared" si="5"/>
        <v>7.0000000000000007E-2</v>
      </c>
      <c r="J26">
        <f t="shared" si="5"/>
        <v>7.9500000000000001E-2</v>
      </c>
    </row>
    <row r="27" spans="1:14" x14ac:dyDescent="0.3">
      <c r="C27" t="str">
        <f t="shared" si="1"/>
        <v>Carrefour</v>
      </c>
      <c r="E27">
        <f t="shared" si="2"/>
        <v>14172</v>
      </c>
      <c r="F27">
        <f t="shared" si="3"/>
        <v>78857</v>
      </c>
      <c r="G27">
        <f t="shared" si="3"/>
        <v>3615</v>
      </c>
      <c r="H27">
        <f t="shared" si="4"/>
        <v>12.708443271767811</v>
      </c>
      <c r="I27">
        <f t="shared" si="5"/>
        <v>1.64</v>
      </c>
      <c r="J27">
        <f t="shared" si="5"/>
        <v>1.52</v>
      </c>
    </row>
    <row r="28" spans="1:14" x14ac:dyDescent="0.3">
      <c r="C28" t="str">
        <f t="shared" si="1"/>
        <v>Casino</v>
      </c>
      <c r="E28">
        <f t="shared" si="2"/>
        <v>12670</v>
      </c>
      <c r="F28">
        <f t="shared" si="3"/>
        <v>46145</v>
      </c>
      <c r="G28">
        <f t="shared" si="3"/>
        <v>1676</v>
      </c>
      <c r="H28">
        <f t="shared" si="4"/>
        <v>53</v>
      </c>
      <c r="I28">
        <f t="shared" si="5"/>
        <v>1.69</v>
      </c>
      <c r="J28">
        <f t="shared" si="5"/>
        <v>2.31</v>
      </c>
    </row>
    <row r="29" spans="1:14" x14ac:dyDescent="0.3">
      <c r="C29" t="str">
        <f t="shared" si="1"/>
        <v>Colruyt</v>
      </c>
      <c r="E29">
        <f t="shared" si="2"/>
        <v>1619</v>
      </c>
      <c r="F29">
        <f t="shared" si="3"/>
        <v>9178</v>
      </c>
      <c r="G29">
        <f t="shared" si="3"/>
        <v>703</v>
      </c>
      <c r="H29">
        <f t="shared" si="4"/>
        <v>13.626666666666667</v>
      </c>
      <c r="I29">
        <f t="shared" si="5"/>
        <v>2.4900000000000002</v>
      </c>
      <c r="J29">
        <f t="shared" si="5"/>
        <v>1.0660000000000001</v>
      </c>
    </row>
    <row r="30" spans="1:14" x14ac:dyDescent="0.3">
      <c r="C30" t="str">
        <f t="shared" si="1"/>
        <v>DIA</v>
      </c>
      <c r="E30">
        <f t="shared" si="2"/>
        <v>1437</v>
      </c>
      <c r="F30">
        <f t="shared" si="3"/>
        <v>8925</v>
      </c>
      <c r="G30">
        <f t="shared" si="3"/>
        <v>479</v>
      </c>
      <c r="H30">
        <f t="shared" si="4"/>
        <v>0.50402576489533013</v>
      </c>
      <c r="I30">
        <f t="shared" si="5"/>
        <v>-0.6</v>
      </c>
      <c r="J30">
        <f t="shared" si="5"/>
        <v>0.2</v>
      </c>
    </row>
    <row r="31" spans="1:14" x14ac:dyDescent="0.3">
      <c r="C31" t="str">
        <f t="shared" si="1"/>
        <v>Metro</v>
      </c>
      <c r="E31">
        <f t="shared" si="2"/>
        <v>7183</v>
      </c>
      <c r="F31">
        <f t="shared" si="3"/>
        <v>58417</v>
      </c>
      <c r="G31">
        <f t="shared" si="3"/>
        <v>2314</v>
      </c>
      <c r="H31">
        <f t="shared" si="4"/>
        <v>16.369230769230768</v>
      </c>
      <c r="I31">
        <f t="shared" si="5"/>
        <v>1.88</v>
      </c>
      <c r="J31">
        <f t="shared" si="5"/>
        <v>1.77</v>
      </c>
    </row>
    <row r="32" spans="1:14" x14ac:dyDescent="0.3">
      <c r="C32" t="str">
        <f t="shared" si="1"/>
        <v>Morrison</v>
      </c>
      <c r="E32">
        <f t="shared" si="2"/>
        <v>5472</v>
      </c>
      <c r="F32">
        <f t="shared" si="3"/>
        <v>16122</v>
      </c>
      <c r="G32">
        <f t="shared" si="3"/>
        <v>600</v>
      </c>
      <c r="H32">
        <f t="shared" si="4"/>
        <v>1.6092544987146529</v>
      </c>
      <c r="I32">
        <f t="shared" si="5"/>
        <v>0.09</v>
      </c>
      <c r="J32">
        <f t="shared" si="5"/>
        <v>0.1077</v>
      </c>
    </row>
    <row r="33" spans="2:10" x14ac:dyDescent="0.3">
      <c r="C33" t="str">
        <f t="shared" si="1"/>
        <v>Sainsbury</v>
      </c>
      <c r="E33">
        <f t="shared" si="2"/>
        <v>7587</v>
      </c>
      <c r="F33">
        <f t="shared" si="3"/>
        <v>23506</v>
      </c>
      <c r="G33">
        <f t="shared" si="3"/>
        <v>1266</v>
      </c>
      <c r="H33">
        <f t="shared" si="4"/>
        <v>2.8892419428052656</v>
      </c>
      <c r="I33">
        <f t="shared" si="5"/>
        <v>0.23</v>
      </c>
      <c r="J33">
        <f t="shared" si="5"/>
        <v>0.20200000000000001</v>
      </c>
    </row>
    <row r="35" spans="2:10" x14ac:dyDescent="0.3">
      <c r="C35" t="s">
        <v>414</v>
      </c>
      <c r="D35" t="s">
        <v>604</v>
      </c>
      <c r="E35" t="s">
        <v>605</v>
      </c>
      <c r="F35" t="s">
        <v>415</v>
      </c>
      <c r="G35" t="s">
        <v>606</v>
      </c>
      <c r="H35" t="s">
        <v>607</v>
      </c>
      <c r="I35" t="s">
        <v>209</v>
      </c>
      <c r="J35" t="s">
        <v>608</v>
      </c>
    </row>
    <row r="36" spans="2:10" x14ac:dyDescent="0.3">
      <c r="D36" t="str">
        <f>"EV "&amp;G7</f>
        <v>EV (£/€ mil.)</v>
      </c>
      <c r="E36" t="str">
        <f>"EV/"&amp;E23</f>
        <v>EV/NOA0</v>
      </c>
      <c r="F36" t="str">
        <f>"EV/"&amp;F23</f>
        <v>EV/S0</v>
      </c>
      <c r="G36" t="str">
        <f>"EV/"&amp;G23</f>
        <v>EV/EBITDA0</v>
      </c>
      <c r="H36" t="str">
        <f>"P/"&amp;H23</f>
        <v>P/B0</v>
      </c>
      <c r="I36" t="str">
        <f t="shared" ref="I36:J36" si="6">"P/"&amp;I23</f>
        <v>P/E0</v>
      </c>
      <c r="J36" t="str">
        <f t="shared" si="6"/>
        <v>P/E1</v>
      </c>
    </row>
    <row r="37" spans="2:10" x14ac:dyDescent="0.3">
      <c r="C37" t="str">
        <f t="shared" ref="C37:C45" si="7">A9</f>
        <v>Ahold</v>
      </c>
      <c r="D37">
        <f t="shared" ref="D37:D45" si="8">G9+I9</f>
        <v>26384.32</v>
      </c>
      <c r="E37">
        <f t="shared" ref="E37:G45" si="9">IF(E25&gt;0,$D37/E25,"n/a")</f>
        <v>4.1595964054863632</v>
      </c>
      <c r="F37">
        <f t="shared" si="9"/>
        <v>0.69063476690312275</v>
      </c>
      <c r="G37">
        <f t="shared" si="9"/>
        <v>12.13072183908046</v>
      </c>
      <c r="H37">
        <f t="shared" ref="H37:J45" si="10">IF(H25&gt;0,$E9/H25,"n/a")</f>
        <v>4.5641685932776097</v>
      </c>
      <c r="I37">
        <f t="shared" si="10"/>
        <v>16.192</v>
      </c>
      <c r="J37">
        <f t="shared" si="10"/>
        <v>18.071428571428569</v>
      </c>
    </row>
    <row r="38" spans="2:10" x14ac:dyDescent="0.3">
      <c r="C38" t="str">
        <f t="shared" si="7"/>
        <v>Booker</v>
      </c>
      <c r="D38">
        <f t="shared" si="8"/>
        <v>3562.8759999999997</v>
      </c>
      <c r="E38">
        <f t="shared" si="9"/>
        <v>7.6951965442764569</v>
      </c>
      <c r="F38">
        <f t="shared" si="9"/>
        <v>0.71371714743589743</v>
      </c>
      <c r="G38">
        <f t="shared" si="9"/>
        <v>20.129242937853107</v>
      </c>
      <c r="H38">
        <f t="shared" si="10"/>
        <v>6.2540271186440677</v>
      </c>
      <c r="I38">
        <f t="shared" si="10"/>
        <v>29.514285714285709</v>
      </c>
      <c r="J38">
        <f t="shared" si="10"/>
        <v>25.987421383647796</v>
      </c>
    </row>
    <row r="39" spans="2:10" x14ac:dyDescent="0.3">
      <c r="C39" t="str">
        <f t="shared" si="7"/>
        <v>Carrefour</v>
      </c>
      <c r="D39">
        <f t="shared" si="8"/>
        <v>21616.74</v>
      </c>
      <c r="E39">
        <f t="shared" si="9"/>
        <v>1.5253132938187977</v>
      </c>
      <c r="F39">
        <f t="shared" si="9"/>
        <v>0.27412582269170782</v>
      </c>
      <c r="G39">
        <f t="shared" si="9"/>
        <v>5.9797344398340257</v>
      </c>
      <c r="H39">
        <f t="shared" si="10"/>
        <v>1.7728371223917783</v>
      </c>
      <c r="I39">
        <f t="shared" si="10"/>
        <v>13.737804878048783</v>
      </c>
      <c r="J39">
        <f t="shared" si="10"/>
        <v>14.822368421052632</v>
      </c>
    </row>
    <row r="40" spans="2:10" x14ac:dyDescent="0.3">
      <c r="C40" t="str">
        <f t="shared" si="7"/>
        <v>Casino</v>
      </c>
      <c r="D40">
        <f t="shared" si="8"/>
        <v>12451.33</v>
      </c>
      <c r="E40">
        <f t="shared" si="9"/>
        <v>0.98274112075769537</v>
      </c>
      <c r="F40">
        <f t="shared" si="9"/>
        <v>0.26983053418571895</v>
      </c>
      <c r="G40">
        <f t="shared" si="9"/>
        <v>7.4291945107398565</v>
      </c>
      <c r="H40">
        <f t="shared" si="10"/>
        <v>0.9628301886792453</v>
      </c>
      <c r="I40">
        <f t="shared" si="10"/>
        <v>30.19526627218935</v>
      </c>
      <c r="J40">
        <f t="shared" si="10"/>
        <v>22.09090909090909</v>
      </c>
    </row>
    <row r="41" spans="2:10" x14ac:dyDescent="0.3">
      <c r="C41" t="str">
        <f t="shared" si="7"/>
        <v>Colruyt</v>
      </c>
      <c r="D41">
        <f t="shared" si="8"/>
        <v>6449.5</v>
      </c>
      <c r="E41">
        <f t="shared" si="9"/>
        <v>3.9836318715256329</v>
      </c>
      <c r="F41">
        <f t="shared" si="9"/>
        <v>0.70271300937023318</v>
      </c>
      <c r="G41">
        <f t="shared" si="9"/>
        <v>9.1742532005689892</v>
      </c>
      <c r="H41">
        <f t="shared" si="10"/>
        <v>3.3632583170254402</v>
      </c>
      <c r="I41">
        <f t="shared" si="10"/>
        <v>18.405622489959836</v>
      </c>
      <c r="J41">
        <f t="shared" si="10"/>
        <v>42.992495309568476</v>
      </c>
    </row>
    <row r="42" spans="2:10" x14ac:dyDescent="0.3">
      <c r="C42" t="str">
        <f t="shared" si="7"/>
        <v>DIA</v>
      </c>
      <c r="D42">
        <f t="shared" si="8"/>
        <v>4315.9399999999996</v>
      </c>
      <c r="E42">
        <f t="shared" si="9"/>
        <v>3.0034377174669449</v>
      </c>
      <c r="F42">
        <f t="shared" si="9"/>
        <v>0.4835787114845938</v>
      </c>
      <c r="G42">
        <f t="shared" si="9"/>
        <v>9.0103131524008351</v>
      </c>
      <c r="H42">
        <f t="shared" si="10"/>
        <v>10.197891373801916</v>
      </c>
      <c r="I42" t="str">
        <f t="shared" si="10"/>
        <v>n/a</v>
      </c>
      <c r="J42">
        <f t="shared" si="10"/>
        <v>25.699999999999996</v>
      </c>
    </row>
    <row r="43" spans="2:10" x14ac:dyDescent="0.3">
      <c r="C43" t="str">
        <f t="shared" si="7"/>
        <v>Metro</v>
      </c>
      <c r="D43">
        <f t="shared" si="8"/>
        <v>11973.75</v>
      </c>
      <c r="E43">
        <f t="shared" si="9"/>
        <v>1.6669567033273005</v>
      </c>
      <c r="F43">
        <f t="shared" si="9"/>
        <v>0.2049702997415136</v>
      </c>
      <c r="G43">
        <f t="shared" si="9"/>
        <v>5.1744814174589457</v>
      </c>
      <c r="H43">
        <f t="shared" si="10"/>
        <v>1.9005169172932332</v>
      </c>
      <c r="I43">
        <f t="shared" si="10"/>
        <v>16.547872340425531</v>
      </c>
      <c r="J43">
        <f t="shared" si="10"/>
        <v>17.576271186440678</v>
      </c>
    </row>
    <row r="44" spans="2:10" x14ac:dyDescent="0.3">
      <c r="C44" t="str">
        <f t="shared" si="7"/>
        <v>Morrison</v>
      </c>
      <c r="D44">
        <f t="shared" si="8"/>
        <v>7485.6480000000001</v>
      </c>
      <c r="E44">
        <f t="shared" si="9"/>
        <v>1.3679912280701754</v>
      </c>
      <c r="F44">
        <f t="shared" si="9"/>
        <v>0.46431261630070714</v>
      </c>
      <c r="G44">
        <f t="shared" si="9"/>
        <v>12.47608</v>
      </c>
      <c r="H44">
        <f t="shared" si="10"/>
        <v>1.536115015974441</v>
      </c>
      <c r="I44">
        <f t="shared" si="10"/>
        <v>27.466666666666669</v>
      </c>
      <c r="J44">
        <f t="shared" si="10"/>
        <v>22.952646239554316</v>
      </c>
    </row>
    <row r="45" spans="2:10" x14ac:dyDescent="0.3">
      <c r="C45" t="str">
        <f t="shared" si="7"/>
        <v>Sainsbury</v>
      </c>
      <c r="D45">
        <f t="shared" si="8"/>
        <v>7051.1379999999999</v>
      </c>
      <c r="E45">
        <f t="shared" si="9"/>
        <v>0.9293710293923817</v>
      </c>
      <c r="F45">
        <f t="shared" si="9"/>
        <v>0.29997183697779289</v>
      </c>
      <c r="G45">
        <f t="shared" si="9"/>
        <v>5.569619273301738</v>
      </c>
      <c r="H45">
        <f t="shared" si="10"/>
        <v>0.91581115475255304</v>
      </c>
      <c r="I45">
        <f t="shared" si="10"/>
        <v>11.504347826086956</v>
      </c>
      <c r="J45">
        <f t="shared" si="10"/>
        <v>13.099009900990097</v>
      </c>
    </row>
    <row r="47" spans="2:10" x14ac:dyDescent="0.3">
      <c r="B47" s="5" t="s">
        <v>416</v>
      </c>
      <c r="C47" s="5"/>
      <c r="D47" s="5"/>
      <c r="E47" s="5"/>
      <c r="F47" s="5"/>
      <c r="G47" s="5"/>
      <c r="H47" s="5"/>
      <c r="I47" s="5"/>
      <c r="J47" s="5"/>
    </row>
    <row r="48" spans="2:10" x14ac:dyDescent="0.3">
      <c r="B48" s="5"/>
      <c r="C48" s="5"/>
      <c r="D48" s="5"/>
      <c r="E48" s="5"/>
      <c r="F48" s="5" t="str">
        <f>F35</f>
        <v>Enterprise</v>
      </c>
      <c r="G48" s="5"/>
      <c r="H48" s="5"/>
      <c r="I48" s="5" t="str">
        <f>I35</f>
        <v>Equity</v>
      </c>
      <c r="J48" s="5"/>
    </row>
    <row r="49" spans="2:10" x14ac:dyDescent="0.3">
      <c r="B49" t="s">
        <v>604</v>
      </c>
      <c r="C49" t="s">
        <v>605</v>
      </c>
      <c r="D49" t="s">
        <v>606</v>
      </c>
      <c r="E49" t="s">
        <v>408</v>
      </c>
      <c r="F49" t="s">
        <v>409</v>
      </c>
      <c r="G49" t="s">
        <v>410</v>
      </c>
      <c r="H49" t="s">
        <v>411</v>
      </c>
      <c r="I49" t="s">
        <v>412</v>
      </c>
      <c r="J49" t="s">
        <v>413</v>
      </c>
    </row>
    <row r="50" spans="2:10" x14ac:dyDescent="0.3">
      <c r="B50" t="s">
        <v>417</v>
      </c>
    </row>
    <row r="51" spans="2:10" x14ac:dyDescent="0.3">
      <c r="B51" t="s">
        <v>418</v>
      </c>
      <c r="E51">
        <f t="shared" ref="E51:J51" si="11">AVERAGE(E37:E45)</f>
        <v>2.8126928793468609</v>
      </c>
      <c r="F51">
        <f t="shared" si="11"/>
        <v>0.45598386056569862</v>
      </c>
      <c r="G51">
        <f t="shared" si="11"/>
        <v>9.6748489745819946</v>
      </c>
      <c r="H51">
        <f t="shared" si="11"/>
        <v>3.4963839779822541</v>
      </c>
      <c r="I51">
        <f t="shared" si="11"/>
        <v>20.445483273457857</v>
      </c>
      <c r="J51">
        <f t="shared" si="11"/>
        <v>22.588061122621298</v>
      </c>
    </row>
    <row r="52" spans="2:10" x14ac:dyDescent="0.3">
      <c r="B52" t="s">
        <v>419</v>
      </c>
      <c r="E52">
        <f>E24/$F$8</f>
        <v>1.8278365739601279</v>
      </c>
      <c r="F52">
        <f>F24/$F$8</f>
        <v>6.6986217080974653</v>
      </c>
      <c r="G52">
        <f>G24/$F$8</f>
        <v>0.29288702928870292</v>
      </c>
      <c r="H52">
        <f>H24</f>
        <v>1.0615308885060299</v>
      </c>
      <c r="I52">
        <f>I24</f>
        <v>1.7035265989240888E-2</v>
      </c>
      <c r="J52">
        <f>J24</f>
        <v>6.4362062515382762E-2</v>
      </c>
    </row>
    <row r="53" spans="2:10" x14ac:dyDescent="0.3">
      <c r="B53" t="s">
        <v>420</v>
      </c>
      <c r="E53">
        <f>I8/$F$8</f>
        <v>0.76630568545409794</v>
      </c>
      <c r="F53">
        <f>E53</f>
        <v>0.76630568545409794</v>
      </c>
      <c r="G53">
        <f>E53</f>
        <v>0.76630568545409794</v>
      </c>
      <c r="H53">
        <v>0</v>
      </c>
      <c r="I53">
        <v>0</v>
      </c>
      <c r="J53">
        <v>0</v>
      </c>
    </row>
    <row r="54" spans="2:10" x14ac:dyDescent="0.3">
      <c r="B54" t="s">
        <v>421</v>
      </c>
      <c r="E54">
        <f t="shared" ref="E54:J54" si="12">E51*E$52-E$53</f>
        <v>4.3748372307333154</v>
      </c>
      <c r="F54">
        <f t="shared" si="12"/>
        <v>2.2881577014733785</v>
      </c>
      <c r="G54">
        <f t="shared" si="12"/>
        <v>2.067332089528076</v>
      </c>
      <c r="H54">
        <f t="shared" si="12"/>
        <v>3.7115195907057497</v>
      </c>
      <c r="I54">
        <f t="shared" si="12"/>
        <v>0.34829424584193008</v>
      </c>
      <c r="J54">
        <f t="shared" si="12"/>
        <v>1.453814202075439</v>
      </c>
    </row>
    <row r="55" spans="2:10" x14ac:dyDescent="0.3">
      <c r="B55" t="s">
        <v>422</v>
      </c>
      <c r="E55">
        <f t="shared" ref="E55:J55" si="13">E54/$E$8-1</f>
        <v>1.2095137528956137</v>
      </c>
      <c r="F55">
        <f t="shared" si="13"/>
        <v>0.15563520276433263</v>
      </c>
      <c r="G55">
        <f t="shared" si="13"/>
        <v>4.4107115923270657E-2</v>
      </c>
      <c r="H55">
        <f t="shared" si="13"/>
        <v>0.87450484379078275</v>
      </c>
      <c r="I55">
        <f t="shared" si="13"/>
        <v>-0.82409381523134839</v>
      </c>
      <c r="J55">
        <f t="shared" si="13"/>
        <v>-0.26575040299220254</v>
      </c>
    </row>
    <row r="57" spans="2:10" x14ac:dyDescent="0.3">
      <c r="B57" t="s">
        <v>423</v>
      </c>
    </row>
    <row r="58" spans="2:10" x14ac:dyDescent="0.3">
      <c r="B58" t="str">
        <f>B51</f>
        <v>Benchmark multiple</v>
      </c>
      <c r="E58">
        <f t="shared" ref="E58:J58" si="14">AVERAGE(E37,E39,E43)</f>
        <v>2.4506221342108203</v>
      </c>
      <c r="F58">
        <f t="shared" si="14"/>
        <v>0.389910296445448</v>
      </c>
      <c r="G58">
        <f t="shared" si="14"/>
        <v>7.7616458987911434</v>
      </c>
      <c r="H58">
        <f t="shared" si="14"/>
        <v>2.7458408776542069</v>
      </c>
      <c r="I58">
        <f t="shared" si="14"/>
        <v>15.49255907282477</v>
      </c>
      <c r="J58">
        <f t="shared" si="14"/>
        <v>16.823356059640627</v>
      </c>
    </row>
    <row r="59" spans="2:10" x14ac:dyDescent="0.3">
      <c r="B59" t="str">
        <f>B54</f>
        <v>Intrinsic value of equity (per share)</v>
      </c>
      <c r="E59">
        <f t="shared" ref="E59:J59" si="15">E58*E$52-E$53</f>
        <v>3.7130310804126649</v>
      </c>
      <c r="F59">
        <f t="shared" si="15"/>
        <v>1.8455558905260978</v>
      </c>
      <c r="G59">
        <f t="shared" si="15"/>
        <v>1.5069797242336844</v>
      </c>
      <c r="H59">
        <f t="shared" si="15"/>
        <v>2.9147949065524474</v>
      </c>
      <c r="I59">
        <f t="shared" si="15"/>
        <v>0.26391986465959716</v>
      </c>
      <c r="J59">
        <f t="shared" si="15"/>
        <v>1.0827858944291335</v>
      </c>
    </row>
    <row r="60" spans="2:10" x14ac:dyDescent="0.3">
      <c r="B60" t="str">
        <f>B55</f>
        <v>Error (% of share price)</v>
      </c>
      <c r="E60">
        <f t="shared" ref="E60:J60" si="16">E59/$E$8-1</f>
        <v>0.87526822243063895</v>
      </c>
      <c r="F60">
        <f t="shared" si="16"/>
        <v>-6.7901065390859716E-2</v>
      </c>
      <c r="G60">
        <f t="shared" si="16"/>
        <v>-0.23889912917490685</v>
      </c>
      <c r="H60">
        <f t="shared" si="16"/>
        <v>0.47211863967295331</v>
      </c>
      <c r="I60">
        <f t="shared" si="16"/>
        <v>-0.86670713906080954</v>
      </c>
      <c r="J60">
        <f t="shared" si="16"/>
        <v>-0.4531384371570033</v>
      </c>
    </row>
    <row r="62" spans="2:10" x14ac:dyDescent="0.3">
      <c r="B62" t="s">
        <v>424</v>
      </c>
    </row>
    <row r="63" spans="2:10" x14ac:dyDescent="0.3">
      <c r="B63" t="str">
        <f>B51</f>
        <v>Benchmark multiple</v>
      </c>
      <c r="E63">
        <f t="shared" ref="E63:J63" si="17">AVERAGE(E39,E43)</f>
        <v>1.5961349985730491</v>
      </c>
      <c r="F63">
        <f t="shared" si="17"/>
        <v>0.23954806121661071</v>
      </c>
      <c r="G63">
        <f t="shared" si="17"/>
        <v>5.5771079286464857</v>
      </c>
      <c r="H63">
        <f t="shared" si="17"/>
        <v>1.8366770198425058</v>
      </c>
      <c r="I63">
        <f t="shared" si="17"/>
        <v>15.142838609237156</v>
      </c>
      <c r="J63">
        <f t="shared" si="17"/>
        <v>16.199319803746654</v>
      </c>
    </row>
    <row r="64" spans="2:10" x14ac:dyDescent="0.3">
      <c r="B64" t="str">
        <f>B54</f>
        <v>Intrinsic value of equity (per share)</v>
      </c>
      <c r="E64">
        <f t="shared" ref="E64:J64" si="18">E63*E$52-E$53</f>
        <v>2.1511682419155176</v>
      </c>
      <c r="F64">
        <f t="shared" si="18"/>
        <v>0.83833615754415103</v>
      </c>
      <c r="G64">
        <f t="shared" si="18"/>
        <v>0.86715688778964251</v>
      </c>
      <c r="H64">
        <f t="shared" si="18"/>
        <v>1.9496893887720224</v>
      </c>
      <c r="I64">
        <f t="shared" si="18"/>
        <v>0.25796228354050149</v>
      </c>
      <c r="J64">
        <f t="shared" si="18"/>
        <v>1.0426216339154202</v>
      </c>
    </row>
    <row r="65" spans="1:10" x14ac:dyDescent="0.3">
      <c r="B65" t="str">
        <f>B55</f>
        <v>Error (% of share price)</v>
      </c>
      <c r="E65">
        <f t="shared" ref="E65:J65" si="19">E64/$E$8-1</f>
        <v>8.6448607028039248E-2</v>
      </c>
      <c r="F65">
        <f t="shared" si="19"/>
        <v>-0.57659790023022672</v>
      </c>
      <c r="G65">
        <f t="shared" si="19"/>
        <v>-0.56204197586381688</v>
      </c>
      <c r="H65">
        <f t="shared" si="19"/>
        <v>-1.5308389509079645E-2</v>
      </c>
      <c r="I65">
        <f t="shared" si="19"/>
        <v>-0.86971601841388813</v>
      </c>
      <c r="J65">
        <f t="shared" si="19"/>
        <v>-0.47342341721443426</v>
      </c>
    </row>
    <row r="67" spans="1:10" x14ac:dyDescent="0.3">
      <c r="B67" t="s">
        <v>425</v>
      </c>
    </row>
    <row r="68" spans="1:10" x14ac:dyDescent="0.3">
      <c r="B68" t="str">
        <f>B63</f>
        <v>Benchmark multiple</v>
      </c>
      <c r="E68">
        <f t="shared" ref="E68:J68" si="20">HARMEAN(E37:E45)</f>
        <v>1.7877027081158141</v>
      </c>
      <c r="F68">
        <f t="shared" si="20"/>
        <v>0.37406261067900842</v>
      </c>
      <c r="G68">
        <f t="shared" si="20"/>
        <v>8.1308931121462287</v>
      </c>
      <c r="H68">
        <f t="shared" si="20"/>
        <v>1.9370871911326295</v>
      </c>
      <c r="I68">
        <f t="shared" si="20"/>
        <v>18.196550078271155</v>
      </c>
      <c r="J68">
        <f t="shared" si="20"/>
        <v>20.200927777528804</v>
      </c>
    </row>
    <row r="69" spans="1:10" x14ac:dyDescent="0.3">
      <c r="B69" t="str">
        <f t="shared" ref="B69:B70" si="21">B64</f>
        <v>Intrinsic value of equity (per share)</v>
      </c>
      <c r="E69">
        <f t="shared" ref="E69:J69" si="22">E68*E$52-E$53</f>
        <v>2.5013227078075544</v>
      </c>
      <c r="F69">
        <f t="shared" si="22"/>
        <v>1.7393982386279188</v>
      </c>
      <c r="G69">
        <f t="shared" si="22"/>
        <v>1.6151274436263874</v>
      </c>
      <c r="H69">
        <f t="shared" si="22"/>
        <v>2.05627788711667</v>
      </c>
      <c r="I69">
        <f t="shared" si="22"/>
        <v>0.30998307066989123</v>
      </c>
      <c r="J69">
        <f t="shared" si="22"/>
        <v>1.300173376486041</v>
      </c>
    </row>
    <row r="70" spans="1:10" x14ac:dyDescent="0.3">
      <c r="B70" t="str">
        <f t="shared" si="21"/>
        <v>Error (% of share price)</v>
      </c>
      <c r="E70">
        <f t="shared" ref="E70:J70" si="23">E69/$E$8-1</f>
        <v>0.26329429687250228</v>
      </c>
      <c r="F70">
        <f t="shared" si="23"/>
        <v>-0.12151604109701075</v>
      </c>
      <c r="G70">
        <f t="shared" si="23"/>
        <v>-0.18427906887556189</v>
      </c>
      <c r="H70">
        <f t="shared" si="23"/>
        <v>3.8524185412459611E-2</v>
      </c>
      <c r="I70">
        <f t="shared" si="23"/>
        <v>-0.84344289360106506</v>
      </c>
      <c r="J70">
        <f t="shared" si="23"/>
        <v>-0.34334677955250448</v>
      </c>
    </row>
    <row r="74" spans="1:10" x14ac:dyDescent="0.3">
      <c r="A74" s="5" t="s">
        <v>562</v>
      </c>
      <c r="B74" s="5"/>
    </row>
    <row r="75" spans="1:10" x14ac:dyDescent="0.3">
      <c r="B75" t="s">
        <v>604</v>
      </c>
      <c r="C75" t="s">
        <v>605</v>
      </c>
      <c r="D75" t="s">
        <v>606</v>
      </c>
      <c r="E75" t="s">
        <v>563</v>
      </c>
      <c r="F75" t="s">
        <v>564</v>
      </c>
      <c r="G75" t="s">
        <v>565</v>
      </c>
      <c r="H75" t="s">
        <v>607</v>
      </c>
    </row>
    <row r="76" spans="1:10" x14ac:dyDescent="0.3">
      <c r="E76" t="s">
        <v>566</v>
      </c>
      <c r="F76" t="s">
        <v>567</v>
      </c>
      <c r="G76" t="s">
        <v>285</v>
      </c>
      <c r="H76" t="s">
        <v>568</v>
      </c>
    </row>
    <row r="77" spans="1:10" x14ac:dyDescent="0.3">
      <c r="B77" t="s">
        <v>266</v>
      </c>
    </row>
    <row r="78" spans="1:10" x14ac:dyDescent="0.3">
      <c r="B78" t="s">
        <v>569</v>
      </c>
      <c r="E78">
        <f>'[1]Pro forma'!E9</f>
        <v>42218.400000000001</v>
      </c>
      <c r="F78">
        <v>0.28000000000000003</v>
      </c>
      <c r="G78">
        <f>E78*F78</f>
        <v>11821.152000000002</v>
      </c>
    </row>
    <row r="79" spans="1:10" x14ac:dyDescent="0.3">
      <c r="B79" t="s">
        <v>26</v>
      </c>
    </row>
    <row r="80" spans="1:10" x14ac:dyDescent="0.3">
      <c r="B80" t="s">
        <v>570</v>
      </c>
      <c r="E80">
        <f>0.45*'[1]Pro forma'!E10</f>
        <v>4749.2865000000002</v>
      </c>
      <c r="F80">
        <v>1.1000000000000001</v>
      </c>
      <c r="G80">
        <f>E80*F80</f>
        <v>5224.2151500000009</v>
      </c>
    </row>
    <row r="81" spans="2:8" x14ac:dyDescent="0.3">
      <c r="B81" t="s">
        <v>571</v>
      </c>
      <c r="E81">
        <f>'[1]Pro forma'!E10-E80</f>
        <v>5804.6834999999992</v>
      </c>
      <c r="F81">
        <v>0.45</v>
      </c>
      <c r="G81">
        <f>E81*F81</f>
        <v>2612.1075749999995</v>
      </c>
    </row>
    <row r="82" spans="2:8" x14ac:dyDescent="0.3">
      <c r="B82" t="s">
        <v>49</v>
      </c>
      <c r="E82">
        <f>'[1]Pro forma'!E12</f>
        <v>964.55</v>
      </c>
      <c r="F82">
        <v>1.5</v>
      </c>
      <c r="G82">
        <f>E82*F82</f>
        <v>1446.8249999999998</v>
      </c>
    </row>
    <row r="83" spans="2:8" x14ac:dyDescent="0.3">
      <c r="B83" t="s">
        <v>572</v>
      </c>
      <c r="G83">
        <f>SUM(G78:G82)</f>
        <v>21104.299725000001</v>
      </c>
      <c r="H83">
        <f>G83/F8</f>
        <v>2.5971326267536305</v>
      </c>
    </row>
    <row r="84" spans="2:8" x14ac:dyDescent="0.3">
      <c r="B84" t="s">
        <v>573</v>
      </c>
      <c r="H84">
        <f>H83-E53</f>
        <v>1.8308269412995326</v>
      </c>
    </row>
    <row r="85" spans="2:8" x14ac:dyDescent="0.3">
      <c r="B85" t="s">
        <v>422</v>
      </c>
      <c r="H85">
        <f>H84/$E$8-1</f>
        <v>-7.5339928636599662E-2</v>
      </c>
    </row>
  </sheetData>
  <pageMargins left="0.7" right="0.7" top="0.75" bottom="0.75" header="0.3" footer="0.3"/>
  <tableParts count="5">
    <tablePart r:id="rId1"/>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0E54-8A1F-44B8-A311-10A9949FB95D}">
  <dimension ref="A1:I144"/>
  <sheetViews>
    <sheetView workbookViewId="0">
      <selection activeCell="K19" sqref="K19"/>
    </sheetView>
  </sheetViews>
  <sheetFormatPr defaultRowHeight="14.4" x14ac:dyDescent="0.3"/>
  <sheetData>
    <row r="1" spans="1:9" x14ac:dyDescent="0.3">
      <c r="A1" s="6" t="s">
        <v>426</v>
      </c>
      <c r="B1" s="7">
        <v>0</v>
      </c>
      <c r="C1" s="8">
        <f>B1+1</f>
        <v>1</v>
      </c>
      <c r="D1" s="8">
        <f t="shared" ref="D1:I1" si="0">C1+1</f>
        <v>2</v>
      </c>
      <c r="E1" s="8">
        <f t="shared" si="0"/>
        <v>3</v>
      </c>
      <c r="F1" s="8">
        <f t="shared" si="0"/>
        <v>4</v>
      </c>
      <c r="G1" s="8">
        <f t="shared" si="0"/>
        <v>5</v>
      </c>
      <c r="H1" s="8">
        <f t="shared" si="0"/>
        <v>6</v>
      </c>
      <c r="I1" s="8">
        <f t="shared" si="0"/>
        <v>7</v>
      </c>
    </row>
    <row r="2" spans="1:9" x14ac:dyDescent="0.3">
      <c r="A2" s="9" t="s">
        <v>427</v>
      </c>
      <c r="B2" s="10" t="s">
        <v>320</v>
      </c>
      <c r="C2" s="10" t="str">
        <f>LEFT($B2,4)+COLUMN()-2&amp;"E"</f>
        <v>2017E</v>
      </c>
      <c r="D2" s="10" t="str">
        <f t="shared" ref="D2:I2" si="1">LEFT($B2,4)+COLUMN()-2&amp;"E"</f>
        <v>2018E</v>
      </c>
      <c r="E2" s="10" t="str">
        <f t="shared" si="1"/>
        <v>2019E</v>
      </c>
      <c r="F2" s="10" t="str">
        <f t="shared" si="1"/>
        <v>2020E</v>
      </c>
      <c r="G2" s="10" t="str">
        <f t="shared" si="1"/>
        <v>2021E</v>
      </c>
      <c r="H2" s="10" t="str">
        <f t="shared" si="1"/>
        <v>2022E</v>
      </c>
      <c r="I2" s="10" t="str">
        <f t="shared" si="1"/>
        <v>2023E</v>
      </c>
    </row>
    <row r="3" spans="1:9" x14ac:dyDescent="0.3">
      <c r="A3" s="11"/>
      <c r="B3" s="11"/>
      <c r="C3" s="11"/>
      <c r="D3" s="11"/>
      <c r="E3" s="11"/>
      <c r="F3" s="11"/>
      <c r="G3" s="11"/>
      <c r="H3" s="11"/>
      <c r="I3" s="11"/>
    </row>
    <row r="4" spans="1:9" x14ac:dyDescent="0.3">
      <c r="A4" s="6" t="s">
        <v>619</v>
      </c>
      <c r="B4" s="11"/>
      <c r="C4" s="11"/>
      <c r="D4" s="11"/>
      <c r="E4" s="11"/>
      <c r="F4" s="11"/>
      <c r="G4" s="11"/>
      <c r="H4" s="11"/>
      <c r="I4" s="11"/>
    </row>
    <row r="5" spans="1:9" x14ac:dyDescent="0.3">
      <c r="A5" s="12" t="s">
        <v>544</v>
      </c>
      <c r="B5" s="13" t="s">
        <v>294</v>
      </c>
      <c r="C5" s="11"/>
      <c r="D5" s="11"/>
      <c r="E5" s="11"/>
      <c r="F5" s="11"/>
      <c r="G5" s="11"/>
      <c r="H5" s="11"/>
      <c r="I5" s="11"/>
    </row>
    <row r="6" spans="1:9" x14ac:dyDescent="0.3">
      <c r="A6" s="12" t="s">
        <v>484</v>
      </c>
      <c r="B6" s="14" t="str">
        <f>[2]Valuation_Multiple!D17</f>
        <v>30-Apr-2016</v>
      </c>
      <c r="C6" s="11"/>
      <c r="D6" s="11"/>
      <c r="E6" s="11"/>
      <c r="F6" s="11"/>
      <c r="G6" s="11"/>
      <c r="H6" s="11"/>
      <c r="I6" s="11"/>
    </row>
    <row r="7" spans="1:9" x14ac:dyDescent="0.3">
      <c r="A7" s="11"/>
      <c r="B7" s="11"/>
      <c r="C7" s="11"/>
      <c r="D7" s="11"/>
      <c r="E7" s="11"/>
      <c r="F7" s="11"/>
      <c r="G7" s="11"/>
      <c r="H7" s="11"/>
      <c r="I7" s="11"/>
    </row>
    <row r="8" spans="1:9" x14ac:dyDescent="0.3">
      <c r="A8" s="15" t="s">
        <v>428</v>
      </c>
      <c r="B8" s="16">
        <f>B123</f>
        <v>6.7000000000000004E-2</v>
      </c>
      <c r="C8" s="11"/>
      <c r="D8" s="11"/>
      <c r="E8" s="11"/>
      <c r="F8" s="11"/>
      <c r="G8" s="11"/>
      <c r="H8" s="11"/>
      <c r="I8" s="11"/>
    </row>
    <row r="9" spans="1:9" x14ac:dyDescent="0.3">
      <c r="A9" s="15"/>
      <c r="B9" s="17"/>
      <c r="C9" s="11"/>
      <c r="D9" s="11"/>
      <c r="E9" s="11"/>
      <c r="F9" s="11"/>
      <c r="G9" s="11"/>
      <c r="H9" s="11"/>
      <c r="I9" s="11"/>
    </row>
    <row r="10" spans="1:9" x14ac:dyDescent="0.3">
      <c r="A10" s="18" t="s">
        <v>429</v>
      </c>
      <c r="B10" s="17"/>
      <c r="C10" s="11"/>
      <c r="D10" s="11"/>
      <c r="E10" s="11"/>
      <c r="F10" s="11"/>
      <c r="G10" s="11"/>
      <c r="H10" s="11"/>
      <c r="I10" s="11"/>
    </row>
    <row r="11" spans="1:9" x14ac:dyDescent="0.3">
      <c r="A11" s="19" t="s">
        <v>546</v>
      </c>
      <c r="B11" s="20">
        <f>B$1</f>
        <v>0</v>
      </c>
      <c r="C11" s="20">
        <f t="shared" ref="C11:H11" si="2">C$1</f>
        <v>1</v>
      </c>
      <c r="D11" s="20">
        <f t="shared" si="2"/>
        <v>2</v>
      </c>
      <c r="E11" s="20">
        <f t="shared" si="2"/>
        <v>3</v>
      </c>
      <c r="F11" s="21">
        <f t="shared" si="2"/>
        <v>4</v>
      </c>
      <c r="G11" s="21">
        <f t="shared" si="2"/>
        <v>5</v>
      </c>
      <c r="H11" s="21">
        <f t="shared" si="2"/>
        <v>6</v>
      </c>
      <c r="I11" s="11"/>
    </row>
    <row r="12" spans="1:9" x14ac:dyDescent="0.3">
      <c r="A12" s="6" t="s">
        <v>430</v>
      </c>
      <c r="B12" s="6"/>
      <c r="C12" s="22">
        <f>C102</f>
        <v>0</v>
      </c>
      <c r="D12" s="22">
        <f t="shared" ref="D12:H12" si="3">D102</f>
        <v>57</v>
      </c>
      <c r="E12" s="22">
        <f t="shared" si="3"/>
        <v>136</v>
      </c>
      <c r="F12" s="23">
        <f t="shared" si="3"/>
        <v>552.83699209560109</v>
      </c>
      <c r="G12" s="23">
        <f t="shared" si="3"/>
        <v>574.95047177942433</v>
      </c>
      <c r="H12" s="23">
        <f t="shared" si="3"/>
        <v>597.94849065060043</v>
      </c>
      <c r="I12" s="11"/>
    </row>
    <row r="13" spans="1:9" x14ac:dyDescent="0.3">
      <c r="A13" s="24" t="s">
        <v>431</v>
      </c>
      <c r="B13" s="25"/>
      <c r="C13" s="26"/>
      <c r="D13" s="27">
        <f>E12/D12-1</f>
        <v>1.3859649122807016</v>
      </c>
      <c r="E13" s="27">
        <f>F12/E12-1</f>
        <v>3.0649778830558905</v>
      </c>
      <c r="F13" s="28">
        <f>G12/F12-1</f>
        <v>3.9999999999998481E-2</v>
      </c>
      <c r="G13" s="28">
        <f>H12/G12-1</f>
        <v>3.9999999999998481E-2</v>
      </c>
      <c r="H13" s="29"/>
      <c r="I13" s="11"/>
    </row>
    <row r="14" spans="1:9" x14ac:dyDescent="0.3">
      <c r="A14" s="11" t="str">
        <f>"TV: Equity value at the end of Year "&amp;E11</f>
        <v>TV: Equity value at the end of Year 3</v>
      </c>
      <c r="B14" s="6"/>
      <c r="C14" s="30"/>
      <c r="D14" s="30"/>
      <c r="E14" s="22">
        <f>F12/($B$8-F13)</f>
        <v>20475.444151687774</v>
      </c>
      <c r="F14" s="31"/>
      <c r="G14" s="32"/>
      <c r="H14" s="11"/>
      <c r="I14" s="11"/>
    </row>
    <row r="15" spans="1:9" x14ac:dyDescent="0.3">
      <c r="A15" s="6" t="s">
        <v>432</v>
      </c>
      <c r="B15" s="22">
        <f>NPV($B$8,C12,D12,E12+E14)</f>
        <v>17017.461099424792</v>
      </c>
      <c r="C15" s="33"/>
      <c r="D15" s="34" t="s">
        <v>433</v>
      </c>
      <c r="E15" s="35">
        <f>-PV($B$8,$E11,,E14)/B15</f>
        <v>0.99047907824335479</v>
      </c>
      <c r="F15" s="31"/>
      <c r="G15" s="32"/>
      <c r="H15" s="11"/>
      <c r="I15" s="11"/>
    </row>
    <row r="16" spans="1:9" ht="15" x14ac:dyDescent="0.3">
      <c r="A16" s="6" t="s">
        <v>434</v>
      </c>
      <c r="B16" s="36">
        <f>B15/$B$109</f>
        <v>2.09419900312882</v>
      </c>
      <c r="C16" s="31"/>
      <c r="D16" s="11"/>
      <c r="E16" s="11"/>
      <c r="F16" s="31"/>
      <c r="G16" s="32"/>
      <c r="H16" s="11"/>
      <c r="I16" s="11"/>
    </row>
    <row r="17" spans="1:9" ht="15" x14ac:dyDescent="0.3">
      <c r="A17" s="6"/>
      <c r="B17" s="36"/>
      <c r="C17" s="31"/>
      <c r="D17" s="11"/>
      <c r="E17" s="11"/>
      <c r="F17" s="31"/>
      <c r="G17" s="32"/>
      <c r="H17" s="11"/>
      <c r="I17" s="11"/>
    </row>
    <row r="18" spans="1:9" x14ac:dyDescent="0.3">
      <c r="A18" s="11"/>
      <c r="B18" s="11"/>
      <c r="C18" s="11"/>
      <c r="D18" s="11"/>
      <c r="E18" s="11"/>
      <c r="F18" s="11"/>
      <c r="G18" s="11"/>
      <c r="H18" s="11"/>
      <c r="I18" s="11"/>
    </row>
    <row r="19" spans="1:9" x14ac:dyDescent="0.3">
      <c r="A19" s="6" t="s">
        <v>435</v>
      </c>
      <c r="B19" s="11"/>
      <c r="C19" s="11"/>
      <c r="D19" s="11"/>
      <c r="E19" s="11"/>
      <c r="F19" s="11"/>
      <c r="G19" s="11"/>
      <c r="H19" s="11"/>
      <c r="I19" s="11"/>
    </row>
    <row r="20" spans="1:9" x14ac:dyDescent="0.3">
      <c r="A20" s="19" t="str">
        <f>A11</f>
        <v>Year (£ mil., except per share and %)</v>
      </c>
      <c r="B20" s="20">
        <f>B$1</f>
        <v>0</v>
      </c>
      <c r="C20" s="20">
        <f t="shared" ref="C20:H20" si="4">C$1</f>
        <v>1</v>
      </c>
      <c r="D20" s="20">
        <f t="shared" si="4"/>
        <v>2</v>
      </c>
      <c r="E20" s="20">
        <f t="shared" si="4"/>
        <v>3</v>
      </c>
      <c r="F20" s="21">
        <f t="shared" si="4"/>
        <v>4</v>
      </c>
      <c r="G20" s="21">
        <f t="shared" si="4"/>
        <v>5</v>
      </c>
      <c r="H20" s="21">
        <f t="shared" si="4"/>
        <v>6</v>
      </c>
      <c r="I20" s="11"/>
    </row>
    <row r="21" spans="1:9" x14ac:dyDescent="0.3">
      <c r="A21" s="11" t="s">
        <v>436</v>
      </c>
      <c r="B21" s="37"/>
      <c r="C21" s="37">
        <f t="shared" ref="C21:H21" si="5">C101</f>
        <v>791.6907200000004</v>
      </c>
      <c r="D21" s="37">
        <f t="shared" si="5"/>
        <v>843.65043635227244</v>
      </c>
      <c r="E21" s="37">
        <f t="shared" si="5"/>
        <v>955.58778120683428</v>
      </c>
      <c r="F21" s="23">
        <f t="shared" si="5"/>
        <v>993.81129245510772</v>
      </c>
      <c r="G21" s="23">
        <f t="shared" si="5"/>
        <v>1033.563744153312</v>
      </c>
      <c r="H21" s="23">
        <f t="shared" si="5"/>
        <v>1074.9062939194446</v>
      </c>
      <c r="I21" s="11"/>
    </row>
    <row r="22" spans="1:9" ht="15" x14ac:dyDescent="0.3">
      <c r="A22" s="11" t="s">
        <v>437</v>
      </c>
      <c r="B22" s="37">
        <f t="shared" ref="B22:H22" si="6">C100</f>
        <v>8626.4285714285725</v>
      </c>
      <c r="C22" s="38">
        <f t="shared" si="6"/>
        <v>9418.119291428573</v>
      </c>
      <c r="D22" s="38">
        <f t="shared" si="6"/>
        <v>10204.769727780846</v>
      </c>
      <c r="E22" s="38">
        <f t="shared" si="6"/>
        <v>11024.357508987679</v>
      </c>
      <c r="F22" s="39">
        <f t="shared" si="6"/>
        <v>11465.331809347186</v>
      </c>
      <c r="G22" s="39">
        <f t="shared" si="6"/>
        <v>11923.945081721075</v>
      </c>
      <c r="H22" s="39">
        <f t="shared" si="6"/>
        <v>12400.902884989919</v>
      </c>
      <c r="I22" s="11"/>
    </row>
    <row r="23" spans="1:9" x14ac:dyDescent="0.3">
      <c r="A23" s="6" t="s">
        <v>438</v>
      </c>
      <c r="B23" s="37"/>
      <c r="C23" s="40">
        <f>C21-$B$8*B22</f>
        <v>213.720005714286</v>
      </c>
      <c r="D23" s="40">
        <f>D21-$B$8*C22</f>
        <v>212.63644382655798</v>
      </c>
      <c r="E23" s="40">
        <f>E21-$B$8*D22</f>
        <v>271.86820944551755</v>
      </c>
      <c r="F23" s="41">
        <f t="shared" ref="F23:H23" si="7">F21-$B$8*E22</f>
        <v>255.1793393529332</v>
      </c>
      <c r="G23" s="41">
        <f t="shared" si="7"/>
        <v>265.38651292705049</v>
      </c>
      <c r="H23" s="41">
        <f t="shared" si="7"/>
        <v>276.00197344413255</v>
      </c>
      <c r="I23" s="11"/>
    </row>
    <row r="24" spans="1:9" x14ac:dyDescent="0.3">
      <c r="A24" s="24" t="s">
        <v>439</v>
      </c>
      <c r="B24" s="25"/>
      <c r="C24" s="26"/>
      <c r="D24" s="27">
        <f>E23/D23-1</f>
        <v>0.27855886109190853</v>
      </c>
      <c r="E24" s="27">
        <f>F23/E23-1</f>
        <v>-6.1385882985810492E-2</v>
      </c>
      <c r="F24" s="28">
        <f>G23/F23-1</f>
        <v>3.9999999999999813E-2</v>
      </c>
      <c r="G24" s="28">
        <f>H23/G23-1</f>
        <v>4.0000000000000036E-2</v>
      </c>
      <c r="H24" s="42"/>
      <c r="I24" s="25"/>
    </row>
    <row r="25" spans="1:9" x14ac:dyDescent="0.3">
      <c r="A25" s="6" t="str">
        <f>"TV: Premium at the end of Year"&amp;E20</f>
        <v>TV: Premium at the end of Year3</v>
      </c>
      <c r="B25" s="11"/>
      <c r="C25" s="31"/>
      <c r="D25" s="31"/>
      <c r="E25" s="22">
        <f>F23/($B$8-F24)</f>
        <v>9451.0866427011624</v>
      </c>
      <c r="F25" s="11"/>
      <c r="G25" s="11"/>
      <c r="H25" s="11"/>
      <c r="I25" s="11"/>
    </row>
    <row r="26" spans="1:9" x14ac:dyDescent="0.3">
      <c r="A26" s="6" t="s">
        <v>440</v>
      </c>
      <c r="B26" s="22">
        <f>NPV(B8,C23,D23,E23+E25)</f>
        <v>8391.0325279970984</v>
      </c>
      <c r="C26" s="11"/>
      <c r="D26" s="11"/>
      <c r="E26" s="11"/>
      <c r="F26" s="11"/>
      <c r="G26" s="11"/>
      <c r="H26" s="11"/>
      <c r="I26" s="11"/>
    </row>
    <row r="27" spans="1:9" ht="15" x14ac:dyDescent="0.3">
      <c r="A27" s="11" t="s">
        <v>441</v>
      </c>
      <c r="B27" s="38">
        <f>B22</f>
        <v>8626.4285714285725</v>
      </c>
      <c r="C27" s="11"/>
      <c r="D27" s="11"/>
      <c r="E27" s="11"/>
      <c r="F27" s="11"/>
      <c r="G27" s="11"/>
      <c r="H27" s="11"/>
      <c r="I27" s="11"/>
    </row>
    <row r="28" spans="1:9" x14ac:dyDescent="0.3">
      <c r="A28" s="6" t="str">
        <f>A15</f>
        <v>Intrinsic value of equity, total</v>
      </c>
      <c r="B28" s="22">
        <f>SUM(B26:B27)</f>
        <v>17017.461099425673</v>
      </c>
      <c r="C28" s="33"/>
      <c r="D28" s="34" t="str">
        <f>D15</f>
        <v>% of disc. TV in IV</v>
      </c>
      <c r="E28" s="35">
        <f>-PV($B$8,$E20,,E25)/B28</f>
        <v>0.45718683887443873</v>
      </c>
      <c r="F28" s="11"/>
      <c r="G28" s="11"/>
      <c r="H28" s="11"/>
      <c r="I28" s="11"/>
    </row>
    <row r="29" spans="1:9" ht="15" x14ac:dyDescent="0.3">
      <c r="A29" s="6" t="str">
        <f>A16</f>
        <v>Equity value, per share</v>
      </c>
      <c r="B29" s="36">
        <f>B28/$B$109</f>
        <v>2.0941990031289284</v>
      </c>
      <c r="C29" s="11"/>
      <c r="D29" s="11"/>
      <c r="E29" s="11"/>
      <c r="F29" s="11"/>
      <c r="G29" s="11"/>
      <c r="H29" s="11"/>
      <c r="I29" s="11"/>
    </row>
    <row r="30" spans="1:9" x14ac:dyDescent="0.3">
      <c r="A30" s="11"/>
      <c r="B30" s="11"/>
      <c r="C30" s="11"/>
      <c r="D30" s="11"/>
      <c r="E30" s="11"/>
      <c r="F30" s="11"/>
      <c r="G30" s="11"/>
      <c r="H30" s="11"/>
      <c r="I30" s="11"/>
    </row>
    <row r="31" spans="1:9" x14ac:dyDescent="0.3">
      <c r="A31" s="11"/>
      <c r="B31" s="11"/>
      <c r="C31" s="11"/>
      <c r="D31" s="11"/>
      <c r="E31" s="11"/>
      <c r="F31" s="11"/>
      <c r="G31" s="11"/>
      <c r="H31" s="11"/>
      <c r="I31" s="11"/>
    </row>
    <row r="32" spans="1:9" x14ac:dyDescent="0.3">
      <c r="A32" s="11"/>
      <c r="B32" s="11"/>
      <c r="C32" s="11"/>
      <c r="D32" s="11"/>
      <c r="E32" s="11"/>
      <c r="F32" s="11"/>
      <c r="G32" s="11"/>
      <c r="H32" s="11"/>
      <c r="I32" s="11"/>
    </row>
    <row r="33" spans="1:9" x14ac:dyDescent="0.3">
      <c r="A33" s="6" t="s">
        <v>620</v>
      </c>
      <c r="B33" s="11"/>
      <c r="C33" s="11"/>
      <c r="D33" s="11"/>
      <c r="E33" s="11"/>
      <c r="F33" s="11"/>
      <c r="G33" s="11"/>
      <c r="H33" s="11"/>
      <c r="I33" s="11"/>
    </row>
    <row r="34" spans="1:9" x14ac:dyDescent="0.3">
      <c r="A34" s="19" t="str">
        <f>A11</f>
        <v>Year (£ mil., except per share and %)</v>
      </c>
      <c r="B34" s="20">
        <f>B$1</f>
        <v>0</v>
      </c>
      <c r="C34" s="20">
        <f t="shared" ref="C34:I34" si="8">C$1</f>
        <v>1</v>
      </c>
      <c r="D34" s="20">
        <f t="shared" si="8"/>
        <v>2</v>
      </c>
      <c r="E34" s="20">
        <f t="shared" si="8"/>
        <v>3</v>
      </c>
      <c r="F34" s="21">
        <f t="shared" si="8"/>
        <v>4</v>
      </c>
      <c r="G34" s="21">
        <f t="shared" si="8"/>
        <v>5</v>
      </c>
      <c r="H34" s="21">
        <f t="shared" si="8"/>
        <v>6</v>
      </c>
      <c r="I34" s="21">
        <f t="shared" si="8"/>
        <v>7</v>
      </c>
    </row>
    <row r="35" spans="1:9" x14ac:dyDescent="0.3">
      <c r="A35" s="11" t="s">
        <v>436</v>
      </c>
      <c r="B35" s="37"/>
      <c r="C35" s="37">
        <f t="shared" ref="C35:I36" si="9">C101</f>
        <v>791.6907200000004</v>
      </c>
      <c r="D35" s="37">
        <f t="shared" si="9"/>
        <v>843.65043635227244</v>
      </c>
      <c r="E35" s="37">
        <f t="shared" si="9"/>
        <v>955.58778120683428</v>
      </c>
      <c r="F35" s="23">
        <f t="shared" si="9"/>
        <v>993.81129245510772</v>
      </c>
      <c r="G35" s="23">
        <f t="shared" si="9"/>
        <v>1033.563744153312</v>
      </c>
      <c r="H35" s="23">
        <f t="shared" si="9"/>
        <v>1074.9062939194446</v>
      </c>
      <c r="I35" s="23">
        <f t="shared" si="9"/>
        <v>1117.9025456762224</v>
      </c>
    </row>
    <row r="36" spans="1:9" ht="15" x14ac:dyDescent="0.3">
      <c r="A36" s="11" t="s">
        <v>430</v>
      </c>
      <c r="B36" s="37"/>
      <c r="C36" s="38">
        <f>C102</f>
        <v>0</v>
      </c>
      <c r="D36" s="38">
        <f t="shared" si="9"/>
        <v>57</v>
      </c>
      <c r="E36" s="38">
        <f t="shared" si="9"/>
        <v>136</v>
      </c>
      <c r="F36" s="39">
        <f t="shared" si="9"/>
        <v>552.83699209560109</v>
      </c>
      <c r="G36" s="39">
        <f t="shared" si="9"/>
        <v>574.95047177942433</v>
      </c>
      <c r="H36" s="39">
        <f t="shared" si="9"/>
        <v>597.94849065060043</v>
      </c>
      <c r="I36" s="23">
        <f t="shared" si="9"/>
        <v>621.86643027662649</v>
      </c>
    </row>
    <row r="37" spans="1:9" ht="15.6" x14ac:dyDescent="0.35">
      <c r="A37" s="6" t="s">
        <v>621</v>
      </c>
      <c r="B37" s="37"/>
      <c r="C37" s="40">
        <f>(D35-C35)-$B$8*(C35-C36)</f>
        <v>-1.0835618877279884</v>
      </c>
      <c r="D37" s="40">
        <f t="shared" ref="D37:H37" si="10">(E35-D35)-$B$8*(D35-D36)</f>
        <v>59.231765618959585</v>
      </c>
      <c r="E37" s="40">
        <f t="shared" si="10"/>
        <v>-16.688870092584459</v>
      </c>
      <c r="F37" s="41">
        <f t="shared" si="10"/>
        <v>10.207173574117309</v>
      </c>
      <c r="G37" s="41">
        <f t="shared" si="10"/>
        <v>10.615460517082134</v>
      </c>
      <c r="H37" s="41">
        <f t="shared" si="10"/>
        <v>11.040078937765276</v>
      </c>
      <c r="I37" s="29"/>
    </row>
    <row r="38" spans="1:9" x14ac:dyDescent="0.3">
      <c r="A38" s="24" t="s">
        <v>442</v>
      </c>
      <c r="B38" s="25"/>
      <c r="C38" s="26"/>
      <c r="D38" s="27">
        <f>E37/D37-1</f>
        <v>-1.2817554046918787</v>
      </c>
      <c r="E38" s="27">
        <f>F37/E37-1</f>
        <v>-1.6116156167248716</v>
      </c>
      <c r="F38" s="28">
        <f>G37/F37-1</f>
        <v>4.0000000000012914E-2</v>
      </c>
      <c r="G38" s="28">
        <f>H37/G37-1</f>
        <v>3.9999999999986491E-2</v>
      </c>
      <c r="H38" s="42"/>
      <c r="I38" s="42"/>
    </row>
    <row r="39" spans="1:9" x14ac:dyDescent="0.3">
      <c r="A39" s="6" t="str">
        <f>"TV: Premium (uncaptlzd.), end of Yr "&amp;E34</f>
        <v>TV: Premium (uncaptlzd.), end of Yr 3</v>
      </c>
      <c r="B39" s="11"/>
      <c r="C39" s="31"/>
      <c r="D39" s="31"/>
      <c r="E39" s="40">
        <f>F37/($B$8-F38)</f>
        <v>378.04346570822923</v>
      </c>
      <c r="F39" s="11"/>
      <c r="G39" s="11"/>
      <c r="H39" s="11"/>
      <c r="I39" s="11"/>
    </row>
    <row r="40" spans="1:9" x14ac:dyDescent="0.3">
      <c r="A40" s="6" t="s">
        <v>547</v>
      </c>
      <c r="B40" s="22">
        <f>NPV($B$8,C37,D37,E37+E39)/$B$8</f>
        <v>5201.1816964428572</v>
      </c>
      <c r="C40" s="31"/>
      <c r="D40" s="31"/>
      <c r="E40" s="31"/>
      <c r="F40" s="31"/>
      <c r="G40" s="11"/>
      <c r="H40" s="11"/>
      <c r="I40" s="11"/>
    </row>
    <row r="41" spans="1:9" ht="15" x14ac:dyDescent="0.3">
      <c r="A41" s="11" t="s">
        <v>443</v>
      </c>
      <c r="B41" s="38">
        <f>C35/B8</f>
        <v>11816.279402985079</v>
      </c>
      <c r="C41" s="31"/>
      <c r="D41" s="31"/>
      <c r="E41" s="31"/>
      <c r="F41" s="31"/>
      <c r="G41" s="11"/>
      <c r="H41" s="11"/>
      <c r="I41" s="11"/>
    </row>
    <row r="42" spans="1:9" x14ac:dyDescent="0.3">
      <c r="A42" s="6" t="str">
        <f>A28</f>
        <v>Intrinsic value of equity, total</v>
      </c>
      <c r="B42" s="22">
        <f>SUM(B40:B41)</f>
        <v>17017.461099427936</v>
      </c>
      <c r="C42" s="33"/>
      <c r="D42" s="34" t="str">
        <f>D15</f>
        <v>% of disc. TV in IV</v>
      </c>
      <c r="E42" s="35">
        <f>-PV($B$8,$E34,,E39/$B$8)/B42</f>
        <v>0.27294736649229778</v>
      </c>
      <c r="F42" s="31"/>
      <c r="G42" s="11"/>
      <c r="H42" s="11"/>
      <c r="I42" s="11"/>
    </row>
    <row r="43" spans="1:9" ht="15" x14ac:dyDescent="0.3">
      <c r="A43" s="6" t="str">
        <f>A16</f>
        <v>Equity value, per share</v>
      </c>
      <c r="B43" s="36">
        <f>B42/$B$109</f>
        <v>2.0941990031292068</v>
      </c>
      <c r="C43" s="31"/>
      <c r="D43" s="31"/>
      <c r="E43" s="31"/>
      <c r="F43" s="31"/>
      <c r="G43" s="11"/>
      <c r="H43" s="11"/>
      <c r="I43" s="11"/>
    </row>
    <row r="44" spans="1:9" ht="15" x14ac:dyDescent="0.3">
      <c r="A44" s="6"/>
      <c r="B44" s="36"/>
      <c r="C44" s="31"/>
      <c r="D44" s="31"/>
      <c r="E44" s="31"/>
      <c r="F44" s="31"/>
      <c r="G44" s="11"/>
      <c r="H44" s="11"/>
      <c r="I44" s="11"/>
    </row>
    <row r="45" spans="1:9" x14ac:dyDescent="0.3">
      <c r="A45" s="19" t="s">
        <v>444</v>
      </c>
      <c r="B45" s="20">
        <f>B$1</f>
        <v>0</v>
      </c>
      <c r="C45" s="20">
        <f t="shared" ref="C45:H45" si="11">C$1</f>
        <v>1</v>
      </c>
      <c r="D45" s="20">
        <f t="shared" si="11"/>
        <v>2</v>
      </c>
      <c r="E45" s="20">
        <f t="shared" si="11"/>
        <v>3</v>
      </c>
      <c r="F45" s="21">
        <f t="shared" si="11"/>
        <v>4</v>
      </c>
      <c r="G45" s="21">
        <f t="shared" si="11"/>
        <v>5</v>
      </c>
      <c r="H45" s="21">
        <f t="shared" si="11"/>
        <v>6</v>
      </c>
      <c r="I45" s="11"/>
    </row>
    <row r="46" spans="1:9" ht="15" x14ac:dyDescent="0.3">
      <c r="A46" s="11" t="s">
        <v>438</v>
      </c>
      <c r="B46" s="11"/>
      <c r="C46" s="38">
        <f t="shared" ref="C46:H46" si="12">C23</f>
        <v>213.720005714286</v>
      </c>
      <c r="D46" s="38">
        <f t="shared" si="12"/>
        <v>212.63644382655798</v>
      </c>
      <c r="E46" s="38">
        <f t="shared" si="12"/>
        <v>271.86820944551755</v>
      </c>
      <c r="F46" s="39">
        <f t="shared" si="12"/>
        <v>255.1793393529332</v>
      </c>
      <c r="G46" s="39">
        <f t="shared" si="12"/>
        <v>265.38651292705049</v>
      </c>
      <c r="H46" s="39">
        <f t="shared" si="12"/>
        <v>276.00197344413255</v>
      </c>
      <c r="I46" s="11"/>
    </row>
    <row r="47" spans="1:9" ht="15.6" x14ac:dyDescent="0.35">
      <c r="A47" s="6" t="s">
        <v>621</v>
      </c>
      <c r="B47" s="6"/>
      <c r="C47" s="40">
        <f>D46-C46</f>
        <v>-1.083561887728024</v>
      </c>
      <c r="D47" s="40">
        <f t="shared" ref="D47:G47" si="13">E46-D46</f>
        <v>59.231765618959571</v>
      </c>
      <c r="E47" s="40">
        <f t="shared" si="13"/>
        <v>-16.688870092584352</v>
      </c>
      <c r="F47" s="41">
        <f t="shared" si="13"/>
        <v>10.207173574117292</v>
      </c>
      <c r="G47" s="41">
        <f t="shared" si="13"/>
        <v>10.615460517082056</v>
      </c>
      <c r="H47" s="11"/>
      <c r="I47" s="11"/>
    </row>
    <row r="48" spans="1:9" x14ac:dyDescent="0.3">
      <c r="A48" s="6"/>
      <c r="B48" s="6"/>
      <c r="C48" s="40"/>
      <c r="D48" s="40"/>
      <c r="E48" s="40"/>
      <c r="F48" s="40"/>
      <c r="G48" s="40"/>
      <c r="H48" s="40"/>
      <c r="I48" s="11"/>
    </row>
    <row r="49" spans="1:9" x14ac:dyDescent="0.3">
      <c r="A49" s="11"/>
      <c r="B49" s="11"/>
      <c r="C49" s="11"/>
      <c r="D49" s="11"/>
      <c r="E49" s="11"/>
      <c r="F49" s="11"/>
      <c r="G49" s="11"/>
      <c r="H49" s="11"/>
      <c r="I49" s="11"/>
    </row>
    <row r="50" spans="1:9" x14ac:dyDescent="0.3">
      <c r="A50" s="11"/>
      <c r="B50" s="11"/>
      <c r="C50" s="11"/>
      <c r="D50" s="11"/>
      <c r="E50" s="11"/>
      <c r="F50" s="11"/>
      <c r="G50" s="11"/>
      <c r="H50" s="11"/>
      <c r="I50" s="11"/>
    </row>
    <row r="51" spans="1:9" x14ac:dyDescent="0.3">
      <c r="A51" s="6" t="s">
        <v>622</v>
      </c>
      <c r="B51" s="11"/>
      <c r="C51" s="11"/>
      <c r="D51" s="11"/>
      <c r="E51" s="11"/>
      <c r="F51" s="11"/>
      <c r="G51" s="11"/>
      <c r="H51" s="11"/>
      <c r="I51" s="11"/>
    </row>
    <row r="52" spans="1:9" x14ac:dyDescent="0.3">
      <c r="A52" s="11"/>
      <c r="B52" s="11"/>
      <c r="C52" s="11"/>
      <c r="D52" s="11"/>
      <c r="E52" s="11"/>
      <c r="F52" s="11"/>
      <c r="G52" s="11"/>
      <c r="H52" s="11"/>
      <c r="I52" s="11"/>
    </row>
    <row r="53" spans="1:9" x14ac:dyDescent="0.3">
      <c r="A53" s="15" t="s">
        <v>445</v>
      </c>
      <c r="B53" s="43">
        <f>D128</f>
        <v>6.4000000000000001E-2</v>
      </c>
      <c r="C53" s="11"/>
      <c r="D53" s="11"/>
      <c r="E53" s="11"/>
      <c r="F53" s="11"/>
      <c r="G53" s="11"/>
      <c r="H53" s="11"/>
      <c r="I53" s="11"/>
    </row>
    <row r="54" spans="1:9" x14ac:dyDescent="0.3">
      <c r="A54" s="15"/>
      <c r="B54" s="43"/>
      <c r="C54" s="11"/>
      <c r="D54" s="11"/>
      <c r="E54" s="11"/>
      <c r="F54" s="11"/>
      <c r="G54" s="11"/>
      <c r="H54" s="11"/>
      <c r="I54" s="11"/>
    </row>
    <row r="55" spans="1:9" x14ac:dyDescent="0.3">
      <c r="A55" s="18" t="s">
        <v>446</v>
      </c>
      <c r="B55" s="44"/>
      <c r="C55" s="11"/>
      <c r="D55" s="11"/>
      <c r="E55" s="11"/>
      <c r="F55" s="11"/>
      <c r="G55" s="11"/>
      <c r="H55" s="11"/>
      <c r="I55" s="31"/>
    </row>
    <row r="56" spans="1:9" x14ac:dyDescent="0.3">
      <c r="A56" s="19" t="str">
        <f>A$11</f>
        <v>Year (£ mil., except per share and %)</v>
      </c>
      <c r="B56" s="20">
        <f>B$1</f>
        <v>0</v>
      </c>
      <c r="C56" s="20">
        <f t="shared" ref="C56:H56" si="14">C$1</f>
        <v>1</v>
      </c>
      <c r="D56" s="20">
        <f t="shared" si="14"/>
        <v>2</v>
      </c>
      <c r="E56" s="20">
        <f t="shared" si="14"/>
        <v>3</v>
      </c>
      <c r="F56" s="21">
        <f t="shared" si="14"/>
        <v>4</v>
      </c>
      <c r="G56" s="21">
        <f t="shared" si="14"/>
        <v>5</v>
      </c>
      <c r="H56" s="21">
        <f t="shared" si="14"/>
        <v>6</v>
      </c>
      <c r="I56" s="31"/>
    </row>
    <row r="57" spans="1:9" x14ac:dyDescent="0.3">
      <c r="A57" s="6" t="s">
        <v>447</v>
      </c>
      <c r="B57" s="6"/>
      <c r="C57" s="22">
        <f>C107</f>
        <v>795.2347018181822</v>
      </c>
      <c r="D57" s="22">
        <f t="shared" ref="D57:H57" si="15">D107</f>
        <v>1286.6962490504316</v>
      </c>
      <c r="E57" s="22">
        <f t="shared" si="15"/>
        <v>1321.6575753347956</v>
      </c>
      <c r="F57" s="23">
        <f t="shared" si="15"/>
        <v>971.09507232446208</v>
      </c>
      <c r="G57" s="23">
        <f t="shared" si="15"/>
        <v>995.37244913257337</v>
      </c>
      <c r="H57" s="23">
        <f t="shared" si="15"/>
        <v>1020.2567603608875</v>
      </c>
      <c r="I57" s="31"/>
    </row>
    <row r="58" spans="1:9" x14ac:dyDescent="0.3">
      <c r="A58" s="24" t="s">
        <v>448</v>
      </c>
      <c r="B58" s="25"/>
      <c r="C58" s="26"/>
      <c r="D58" s="27">
        <f>E57/D57-1</f>
        <v>2.7171390536162132E-2</v>
      </c>
      <c r="E58" s="27">
        <f>F57/E57-1</f>
        <v>-0.26524457586643113</v>
      </c>
      <c r="F58" s="45">
        <f>G57/F57-1</f>
        <v>2.4999999999999689E-2</v>
      </c>
      <c r="G58" s="45">
        <f>H57/G57-1</f>
        <v>2.4999999999999689E-2</v>
      </c>
      <c r="H58" s="28"/>
      <c r="I58" s="31"/>
    </row>
    <row r="59" spans="1:9" x14ac:dyDescent="0.3">
      <c r="A59" s="6" t="str">
        <f>"TV: EV at the end of Year "&amp;E56</f>
        <v>TV: EV at the end of Year 3</v>
      </c>
      <c r="B59" s="11"/>
      <c r="C59" s="31"/>
      <c r="D59" s="31"/>
      <c r="E59" s="22">
        <f>F57/($B$53-F58)</f>
        <v>24899.873649344983</v>
      </c>
      <c r="F59" s="37"/>
      <c r="G59" s="31"/>
      <c r="H59" s="31"/>
      <c r="I59" s="31"/>
    </row>
    <row r="60" spans="1:9" ht="15.6" x14ac:dyDescent="0.35">
      <c r="A60" s="11" t="s">
        <v>623</v>
      </c>
      <c r="B60" s="37">
        <f>NPV(B53,C57,D57,E57+E59)</f>
        <v>23652.69573921448</v>
      </c>
      <c r="C60" s="11"/>
      <c r="D60" s="11"/>
      <c r="E60" s="11"/>
      <c r="F60" s="11"/>
      <c r="G60" s="11"/>
      <c r="H60" s="11"/>
      <c r="I60" s="11"/>
    </row>
    <row r="61" spans="1:9" ht="15" x14ac:dyDescent="0.3">
      <c r="A61" s="46" t="s">
        <v>553</v>
      </c>
      <c r="B61" s="38">
        <f>-(B108-B103)</f>
        <v>-5980.5714285714275</v>
      </c>
      <c r="C61" s="11"/>
      <c r="D61" s="11"/>
      <c r="E61" s="11"/>
      <c r="F61" s="11"/>
      <c r="G61" s="11"/>
      <c r="H61" s="11"/>
      <c r="I61" s="11"/>
    </row>
    <row r="62" spans="1:9" x14ac:dyDescent="0.3">
      <c r="A62" s="47" t="str">
        <f>A15</f>
        <v>Intrinsic value of equity, total</v>
      </c>
      <c r="B62" s="22">
        <f>SUM(B60:B61)</f>
        <v>17672.124310643052</v>
      </c>
      <c r="C62" s="11"/>
      <c r="D62" s="11"/>
      <c r="E62" s="11"/>
      <c r="F62" s="11"/>
      <c r="G62" s="11"/>
      <c r="H62" s="11"/>
      <c r="I62" s="11"/>
    </row>
    <row r="63" spans="1:9" x14ac:dyDescent="0.3">
      <c r="A63" s="6" t="str">
        <f>A16</f>
        <v>Equity value, per share</v>
      </c>
      <c r="B63" s="48">
        <f>B62/$B$109</f>
        <v>2.1747630212457607</v>
      </c>
      <c r="C63" s="11"/>
      <c r="D63" s="11"/>
      <c r="E63" s="11"/>
      <c r="F63" s="11"/>
      <c r="G63" s="11"/>
      <c r="H63" s="11"/>
      <c r="I63" s="11"/>
    </row>
    <row r="64" spans="1:9" x14ac:dyDescent="0.3">
      <c r="A64" s="6"/>
      <c r="B64" s="48"/>
      <c r="C64" s="11"/>
      <c r="D64" s="11"/>
      <c r="E64" s="11"/>
      <c r="F64" s="11"/>
      <c r="G64" s="11"/>
      <c r="H64" s="11"/>
      <c r="I64" s="11"/>
    </row>
    <row r="65" spans="1:9" x14ac:dyDescent="0.3">
      <c r="A65" s="6" t="s">
        <v>449</v>
      </c>
      <c r="B65" s="48"/>
      <c r="C65" s="11"/>
      <c r="D65" s="11"/>
      <c r="E65" s="11"/>
      <c r="F65" s="11"/>
      <c r="G65" s="11"/>
      <c r="H65" s="11"/>
      <c r="I65" s="11"/>
    </row>
    <row r="66" spans="1:9" x14ac:dyDescent="0.3">
      <c r="A66" s="19" t="str">
        <f>A$11</f>
        <v>Year (£ mil., except per share and %)</v>
      </c>
      <c r="B66" s="20">
        <f>B$1</f>
        <v>0</v>
      </c>
      <c r="C66" s="20">
        <f t="shared" ref="C66:H66" si="16">C$1</f>
        <v>1</v>
      </c>
      <c r="D66" s="20">
        <f t="shared" si="16"/>
        <v>2</v>
      </c>
      <c r="E66" s="20">
        <f t="shared" si="16"/>
        <v>3</v>
      </c>
      <c r="F66" s="21">
        <f t="shared" si="16"/>
        <v>4</v>
      </c>
      <c r="G66" s="21">
        <f t="shared" si="16"/>
        <v>5</v>
      </c>
      <c r="H66" s="21">
        <f t="shared" si="16"/>
        <v>6</v>
      </c>
      <c r="I66" s="11"/>
    </row>
    <row r="67" spans="1:9" x14ac:dyDescent="0.3">
      <c r="A67" s="11" t="s">
        <v>450</v>
      </c>
      <c r="B67" s="49"/>
      <c r="C67" s="37">
        <f>C106</f>
        <v>1196.4457200000004</v>
      </c>
      <c r="D67" s="37">
        <f t="shared" ref="D67:H67" si="17">D106</f>
        <v>1234.9568572249998</v>
      </c>
      <c r="E67" s="37">
        <f t="shared" si="17"/>
        <v>1311.9654235999999</v>
      </c>
      <c r="F67" s="23">
        <f t="shared" si="17"/>
        <v>1344.7645591899998</v>
      </c>
      <c r="G67" s="23">
        <f t="shared" si="17"/>
        <v>1378.3836731697497</v>
      </c>
      <c r="H67" s="23">
        <f t="shared" si="17"/>
        <v>1412.8432649989934</v>
      </c>
      <c r="I67" s="11"/>
    </row>
    <row r="68" spans="1:9" ht="15" x14ac:dyDescent="0.3">
      <c r="A68" s="11" t="s">
        <v>451</v>
      </c>
      <c r="B68" s="37">
        <f>C105</f>
        <v>14607</v>
      </c>
      <c r="C68" s="38">
        <f t="shared" ref="C68:H68" si="18">D105</f>
        <v>15008.211018181817</v>
      </c>
      <c r="D68" s="38">
        <f t="shared" si="18"/>
        <v>14956.471626356384</v>
      </c>
      <c r="E68" s="38">
        <f t="shared" si="18"/>
        <v>14946.77947462159</v>
      </c>
      <c r="F68" s="39">
        <f t="shared" si="18"/>
        <v>15320.448961487127</v>
      </c>
      <c r="G68" s="39">
        <f t="shared" si="18"/>
        <v>15703.460185524304</v>
      </c>
      <c r="H68" s="39">
        <f t="shared" si="18"/>
        <v>16096.04669016241</v>
      </c>
      <c r="I68" s="11"/>
    </row>
    <row r="69" spans="1:9" x14ac:dyDescent="0.3">
      <c r="A69" s="6" t="s">
        <v>452</v>
      </c>
      <c r="B69" s="48"/>
      <c r="C69" s="22">
        <f>C67-$B$53*B68</f>
        <v>261.59772000000032</v>
      </c>
      <c r="D69" s="22">
        <f t="shared" ref="D69:H69" si="19">D67-$B$53*C68</f>
        <v>274.43135206136344</v>
      </c>
      <c r="E69" s="22">
        <f t="shared" si="19"/>
        <v>354.75123951319131</v>
      </c>
      <c r="F69" s="23">
        <f t="shared" si="19"/>
        <v>388.17067281421805</v>
      </c>
      <c r="G69" s="23">
        <f t="shared" si="19"/>
        <v>397.87493963457359</v>
      </c>
      <c r="H69" s="23">
        <f t="shared" si="19"/>
        <v>407.82181312543798</v>
      </c>
      <c r="I69" s="11"/>
    </row>
    <row r="70" spans="1:9" x14ac:dyDescent="0.3">
      <c r="A70" s="24" t="s">
        <v>453</v>
      </c>
      <c r="B70" s="50"/>
      <c r="C70" s="26"/>
      <c r="D70" s="27">
        <f>E69/D69-1</f>
        <v>0.29267751970943956</v>
      </c>
      <c r="E70" s="27">
        <f>F69/E69-1</f>
        <v>9.4205261542952501E-2</v>
      </c>
      <c r="F70" s="45">
        <f>G69/F69-1</f>
        <v>2.5000000000000133E-2</v>
      </c>
      <c r="G70" s="45">
        <f>H69/G69-1</f>
        <v>2.5000000000000133E-2</v>
      </c>
      <c r="H70" s="28"/>
      <c r="I70" s="11"/>
    </row>
    <row r="71" spans="1:9" x14ac:dyDescent="0.3">
      <c r="A71" s="6" t="str">
        <f>"TV: Enterprise-premium at the end of Yr "&amp;E66</f>
        <v>TV: Enterprise-premium at the end of Yr 3</v>
      </c>
      <c r="B71" s="48"/>
      <c r="C71" s="6"/>
      <c r="D71" s="6"/>
      <c r="E71" s="22">
        <f>F69/($B$53-F70)</f>
        <v>9953.0941747235738</v>
      </c>
      <c r="F71" s="37"/>
      <c r="G71" s="11"/>
      <c r="H71" s="11"/>
      <c r="I71" s="11"/>
    </row>
    <row r="72" spans="1:9" x14ac:dyDescent="0.3">
      <c r="A72" s="6" t="s">
        <v>454</v>
      </c>
      <c r="B72" s="22">
        <f>NPV(B53,C69,D69,E69+E71)</f>
        <v>9045.6957392146323</v>
      </c>
      <c r="C72" s="11"/>
      <c r="D72" s="11"/>
      <c r="E72" s="11"/>
      <c r="F72" s="11"/>
      <c r="G72" s="11"/>
      <c r="H72" s="11"/>
      <c r="I72" s="11"/>
    </row>
    <row r="73" spans="1:9" ht="15" x14ac:dyDescent="0.3">
      <c r="A73" s="11" t="s">
        <v>455</v>
      </c>
      <c r="B73" s="38">
        <f>B68</f>
        <v>14607</v>
      </c>
      <c r="C73" s="11"/>
      <c r="D73" s="11"/>
      <c r="E73" s="11"/>
      <c r="F73" s="11"/>
      <c r="G73" s="11"/>
      <c r="H73" s="11"/>
      <c r="I73" s="11"/>
    </row>
    <row r="74" spans="1:9" x14ac:dyDescent="0.3">
      <c r="A74" s="6" t="s">
        <v>456</v>
      </c>
      <c r="B74" s="22">
        <f>SUM(B72:B73)</f>
        <v>23652.695739214632</v>
      </c>
      <c r="C74" s="11"/>
      <c r="D74" s="11"/>
      <c r="E74" s="11"/>
      <c r="F74" s="11"/>
      <c r="G74" s="11"/>
      <c r="H74" s="11"/>
      <c r="I74" s="11"/>
    </row>
    <row r="75" spans="1:9" x14ac:dyDescent="0.3">
      <c r="A75" s="11" t="str">
        <f>A15</f>
        <v>Intrinsic value of equity, total</v>
      </c>
      <c r="B75" s="37">
        <f>B74+B61</f>
        <v>17672.124310643205</v>
      </c>
      <c r="C75" s="11"/>
      <c r="D75" s="11"/>
      <c r="E75" s="11"/>
      <c r="F75" s="11"/>
      <c r="G75" s="11"/>
      <c r="H75" s="11"/>
      <c r="I75" s="11"/>
    </row>
    <row r="76" spans="1:9" x14ac:dyDescent="0.3">
      <c r="A76" s="6" t="str">
        <f>A16</f>
        <v>Equity value, per share</v>
      </c>
      <c r="B76" s="48">
        <f>B75/$B$109</f>
        <v>2.1747630212457794</v>
      </c>
      <c r="C76" s="11"/>
      <c r="D76" s="11"/>
      <c r="E76" s="11"/>
      <c r="F76" s="11"/>
      <c r="G76" s="11"/>
      <c r="H76" s="11"/>
      <c r="I76" s="11"/>
    </row>
    <row r="77" spans="1:9" x14ac:dyDescent="0.3">
      <c r="A77" s="6"/>
      <c r="B77" s="48"/>
      <c r="C77" s="11"/>
      <c r="D77" s="11"/>
      <c r="E77" s="11"/>
      <c r="F77" s="11"/>
      <c r="G77" s="11"/>
      <c r="H77" s="11"/>
      <c r="I77" s="11"/>
    </row>
    <row r="78" spans="1:9" x14ac:dyDescent="0.3">
      <c r="A78" s="6" t="s">
        <v>457</v>
      </c>
      <c r="B78" s="48"/>
      <c r="C78" s="11"/>
      <c r="D78" s="11"/>
      <c r="E78" s="11"/>
      <c r="F78" s="11"/>
      <c r="G78" s="11"/>
      <c r="H78" s="11"/>
      <c r="I78" s="11"/>
    </row>
    <row r="79" spans="1:9" x14ac:dyDescent="0.3">
      <c r="A79" s="19" t="str">
        <f>A$11</f>
        <v>Year (£ mil., except per share and %)</v>
      </c>
      <c r="B79" s="20">
        <f>B$1</f>
        <v>0</v>
      </c>
      <c r="C79" s="20">
        <f t="shared" ref="C79:I79" si="20">C$1</f>
        <v>1</v>
      </c>
      <c r="D79" s="20">
        <f t="shared" si="20"/>
        <v>2</v>
      </c>
      <c r="E79" s="20">
        <f t="shared" si="20"/>
        <v>3</v>
      </c>
      <c r="F79" s="21">
        <f t="shared" si="20"/>
        <v>4</v>
      </c>
      <c r="G79" s="21">
        <f t="shared" si="20"/>
        <v>5</v>
      </c>
      <c r="H79" s="21">
        <f t="shared" si="20"/>
        <v>6</v>
      </c>
      <c r="I79" s="21">
        <f t="shared" si="20"/>
        <v>7</v>
      </c>
    </row>
    <row r="80" spans="1:9" x14ac:dyDescent="0.3">
      <c r="A80" s="6" t="s">
        <v>450</v>
      </c>
      <c r="B80" s="49"/>
      <c r="C80" s="37">
        <f>C106</f>
        <v>1196.4457200000004</v>
      </c>
      <c r="D80" s="37">
        <f t="shared" ref="D80:I81" si="21">D106</f>
        <v>1234.9568572249998</v>
      </c>
      <c r="E80" s="37">
        <f t="shared" si="21"/>
        <v>1311.9654235999999</v>
      </c>
      <c r="F80" s="23">
        <f t="shared" si="21"/>
        <v>1344.7645591899998</v>
      </c>
      <c r="G80" s="23">
        <f t="shared" si="21"/>
        <v>1378.3836731697497</v>
      </c>
      <c r="H80" s="23">
        <f t="shared" si="21"/>
        <v>1412.8432649989934</v>
      </c>
      <c r="I80" s="23">
        <f t="shared" si="21"/>
        <v>1448.1643466239682</v>
      </c>
    </row>
    <row r="81" spans="1:9" ht="15" x14ac:dyDescent="0.3">
      <c r="A81" s="6" t="s">
        <v>447</v>
      </c>
      <c r="B81" s="49"/>
      <c r="C81" s="38">
        <f>C107</f>
        <v>795.2347018181822</v>
      </c>
      <c r="D81" s="38">
        <f t="shared" si="21"/>
        <v>1286.6962490504316</v>
      </c>
      <c r="E81" s="38">
        <f t="shared" si="21"/>
        <v>1321.6575753347956</v>
      </c>
      <c r="F81" s="39">
        <f t="shared" si="21"/>
        <v>971.09507232446208</v>
      </c>
      <c r="G81" s="39">
        <f t="shared" si="21"/>
        <v>995.37244913257337</v>
      </c>
      <c r="H81" s="39">
        <f t="shared" si="21"/>
        <v>1020.2567603608875</v>
      </c>
      <c r="I81" s="39">
        <f t="shared" si="21"/>
        <v>1045.7631793699099</v>
      </c>
    </row>
    <row r="82" spans="1:9" ht="15.6" x14ac:dyDescent="0.35">
      <c r="A82" s="6" t="s">
        <v>624</v>
      </c>
      <c r="B82" s="48"/>
      <c r="C82" s="51">
        <f>(D80-C80-$B$53*(C80-C81))</f>
        <v>12.833632061363037</v>
      </c>
      <c r="D82" s="51">
        <f t="shared" ref="D82:H82" si="22">(E80-D80-$B$53*(D80-D81))</f>
        <v>80.319887451827739</v>
      </c>
      <c r="E82" s="51">
        <f t="shared" si="22"/>
        <v>33.419433301026807</v>
      </c>
      <c r="F82" s="41">
        <f t="shared" si="22"/>
        <v>9.7042668203555422</v>
      </c>
      <c r="G82" s="41">
        <f t="shared" si="22"/>
        <v>9.9468734908643768</v>
      </c>
      <c r="H82" s="41">
        <f t="shared" si="22"/>
        <v>10.195545328136017</v>
      </c>
      <c r="I82" s="41"/>
    </row>
    <row r="83" spans="1:9" x14ac:dyDescent="0.3">
      <c r="A83" s="24" t="s">
        <v>458</v>
      </c>
      <c r="B83" s="50"/>
      <c r="C83" s="26"/>
      <c r="D83" s="27">
        <f>E82/D82-1</f>
        <v>-0.58392081511480853</v>
      </c>
      <c r="E83" s="27">
        <f>F82/E82-1</f>
        <v>-0.70962204137502893</v>
      </c>
      <c r="F83" s="45">
        <f>G82/F82-1</f>
        <v>2.499999999999436E-2</v>
      </c>
      <c r="G83" s="45">
        <f>H82/G82-1</f>
        <v>2.500000000000302E-2</v>
      </c>
      <c r="H83" s="28"/>
      <c r="I83" s="29"/>
    </row>
    <row r="84" spans="1:9" x14ac:dyDescent="0.3">
      <c r="A84" s="6" t="str">
        <f>"TV: Enterprise-premium (uncapltzd.), end of Yr "&amp;E79</f>
        <v>TV: Enterprise-premium (uncapltzd.), end of Yr 3</v>
      </c>
      <c r="B84" s="48"/>
      <c r="C84" s="6"/>
      <c r="D84" s="6"/>
      <c r="E84" s="22">
        <f>F82/($B$53-F83)</f>
        <v>248.82735436805484</v>
      </c>
      <c r="F84" s="37"/>
      <c r="G84" s="11"/>
      <c r="H84" s="11"/>
      <c r="I84" s="11"/>
    </row>
    <row r="85" spans="1:9" x14ac:dyDescent="0.3">
      <c r="A85" s="6" t="s">
        <v>548</v>
      </c>
      <c r="B85" s="22">
        <f>NPV($B$53,C82,D82,E82+E84)/$B$53</f>
        <v>4958.2313642141626</v>
      </c>
      <c r="C85" s="11"/>
      <c r="D85" s="11"/>
      <c r="E85" s="11"/>
      <c r="F85" s="11"/>
      <c r="G85" s="11"/>
      <c r="H85" s="11"/>
      <c r="I85" s="11"/>
    </row>
    <row r="86" spans="1:9" ht="15" x14ac:dyDescent="0.3">
      <c r="A86" s="11" t="s">
        <v>459</v>
      </c>
      <c r="B86" s="38">
        <f>C80/$B$53</f>
        <v>18694.464375000007</v>
      </c>
      <c r="C86" s="11"/>
      <c r="D86" s="11"/>
      <c r="E86" s="11"/>
      <c r="F86" s="11"/>
      <c r="G86" s="11"/>
      <c r="H86" s="11"/>
      <c r="I86" s="11"/>
    </row>
    <row r="87" spans="1:9" x14ac:dyDescent="0.3">
      <c r="A87" s="6" t="s">
        <v>456</v>
      </c>
      <c r="B87" s="22">
        <f>SUM(B85:B86)</f>
        <v>23652.69573921417</v>
      </c>
      <c r="C87" s="11"/>
      <c r="D87" s="11"/>
      <c r="E87" s="11"/>
      <c r="F87" s="11"/>
      <c r="G87" s="11"/>
      <c r="H87" s="11"/>
      <c r="I87" s="11"/>
    </row>
    <row r="88" spans="1:9" x14ac:dyDescent="0.3">
      <c r="A88" s="11" t="str">
        <f>A75</f>
        <v>Intrinsic value of equity, total</v>
      </c>
      <c r="B88" s="37">
        <f>B87+B61</f>
        <v>17672.124310642743</v>
      </c>
      <c r="C88" s="11"/>
      <c r="D88" s="11"/>
      <c r="E88" s="11"/>
      <c r="F88" s="11"/>
      <c r="G88" s="11"/>
      <c r="H88" s="11"/>
      <c r="I88" s="11"/>
    </row>
    <row r="89" spans="1:9" x14ac:dyDescent="0.3">
      <c r="A89" s="30" t="str">
        <f>A16</f>
        <v>Equity value, per share</v>
      </c>
      <c r="B89" s="48">
        <f>B88/$B$109</f>
        <v>2.1747630212457225</v>
      </c>
      <c r="C89" s="11"/>
      <c r="D89" s="11"/>
      <c r="E89" s="11"/>
      <c r="F89" s="11"/>
      <c r="G89" s="11"/>
      <c r="H89" s="11"/>
      <c r="I89" s="11"/>
    </row>
    <row r="90" spans="1:9" x14ac:dyDescent="0.3">
      <c r="A90" s="30"/>
      <c r="B90" s="48"/>
      <c r="C90" s="11"/>
      <c r="D90" s="11"/>
      <c r="E90" s="11"/>
      <c r="F90" s="11"/>
      <c r="G90" s="11"/>
      <c r="H90" s="11"/>
      <c r="I90" s="11"/>
    </row>
    <row r="91" spans="1:9" x14ac:dyDescent="0.3">
      <c r="A91" s="52" t="s">
        <v>549</v>
      </c>
      <c r="B91" s="20">
        <f>B$1</f>
        <v>0</v>
      </c>
      <c r="C91" s="20">
        <f t="shared" ref="C91:G91" si="23">C$1</f>
        <v>1</v>
      </c>
      <c r="D91" s="20">
        <f t="shared" si="23"/>
        <v>2</v>
      </c>
      <c r="E91" s="20">
        <f t="shared" si="23"/>
        <v>3</v>
      </c>
      <c r="F91" s="21">
        <f t="shared" si="23"/>
        <v>4</v>
      </c>
      <c r="G91" s="21">
        <f t="shared" si="23"/>
        <v>5</v>
      </c>
      <c r="H91" s="11"/>
      <c r="I91" s="11"/>
    </row>
    <row r="92" spans="1:9" ht="15.6" x14ac:dyDescent="0.35">
      <c r="A92" s="11" t="s">
        <v>625</v>
      </c>
      <c r="B92" s="48"/>
      <c r="C92" s="53">
        <f>D69-C69</f>
        <v>12.833632061363119</v>
      </c>
      <c r="D92" s="53">
        <f t="shared" ref="D92:G92" si="24">E69-D69</f>
        <v>80.319887451827867</v>
      </c>
      <c r="E92" s="53">
        <f t="shared" si="24"/>
        <v>33.419433301026743</v>
      </c>
      <c r="F92" s="53">
        <f t="shared" si="24"/>
        <v>9.7042668203555422</v>
      </c>
      <c r="G92" s="53">
        <f t="shared" si="24"/>
        <v>9.946873490864391</v>
      </c>
      <c r="H92" s="11"/>
      <c r="I92" s="11"/>
    </row>
    <row r="93" spans="1:9" x14ac:dyDescent="0.3">
      <c r="A93" s="11"/>
      <c r="B93" s="11"/>
      <c r="C93" s="11"/>
      <c r="D93" s="11"/>
      <c r="E93" s="11"/>
      <c r="F93" s="11"/>
      <c r="G93" s="11"/>
      <c r="H93" s="11"/>
      <c r="I93" s="11"/>
    </row>
    <row r="94" spans="1:9" x14ac:dyDescent="0.3">
      <c r="A94" s="11"/>
      <c r="B94" s="11"/>
      <c r="C94" s="11"/>
      <c r="D94" s="11"/>
      <c r="E94" s="11"/>
      <c r="F94" s="11"/>
      <c r="G94" s="11"/>
      <c r="H94" s="11"/>
      <c r="I94" s="11"/>
    </row>
    <row r="95" spans="1:9" x14ac:dyDescent="0.3">
      <c r="A95" s="6" t="s">
        <v>460</v>
      </c>
      <c r="B95" s="11"/>
      <c r="C95" s="11"/>
      <c r="D95" s="11"/>
      <c r="E95" s="11"/>
      <c r="F95" s="11"/>
      <c r="G95" s="11"/>
      <c r="H95" s="11"/>
      <c r="I95" s="11"/>
    </row>
    <row r="96" spans="1:9" x14ac:dyDescent="0.3">
      <c r="A96" s="54" t="s">
        <v>561</v>
      </c>
      <c r="B96" s="11"/>
      <c r="C96" s="11"/>
      <c r="D96" s="7"/>
      <c r="E96" s="55"/>
      <c r="F96" s="6"/>
      <c r="G96" s="6"/>
      <c r="H96" s="6"/>
      <c r="I96" s="6"/>
    </row>
    <row r="97" spans="1:9" x14ac:dyDescent="0.3">
      <c r="A97" s="6"/>
      <c r="B97" s="11"/>
      <c r="C97" s="56" t="s">
        <v>545</v>
      </c>
      <c r="D97" s="56"/>
      <c r="E97" s="56"/>
      <c r="F97" s="57" t="s">
        <v>551</v>
      </c>
      <c r="G97" s="58"/>
      <c r="H97" s="58"/>
      <c r="I97" s="58"/>
    </row>
    <row r="98" spans="1:9" x14ac:dyDescent="0.3">
      <c r="A98" s="19" t="s">
        <v>550</v>
      </c>
      <c r="B98" s="20">
        <f>B$1</f>
        <v>0</v>
      </c>
      <c r="C98" s="59">
        <f t="shared" ref="C98:I98" si="25">C$1</f>
        <v>1</v>
      </c>
      <c r="D98" s="59">
        <f t="shared" si="25"/>
        <v>2</v>
      </c>
      <c r="E98" s="59">
        <f t="shared" si="25"/>
        <v>3</v>
      </c>
      <c r="F98" s="60">
        <f t="shared" si="25"/>
        <v>4</v>
      </c>
      <c r="G98" s="60">
        <f t="shared" si="25"/>
        <v>5</v>
      </c>
      <c r="H98" s="60">
        <f t="shared" si="25"/>
        <v>6</v>
      </c>
      <c r="I98" s="60">
        <f t="shared" si="25"/>
        <v>7</v>
      </c>
    </row>
    <row r="99" spans="1:9" x14ac:dyDescent="0.3">
      <c r="A99" s="6" t="s">
        <v>461</v>
      </c>
      <c r="B99" s="61"/>
      <c r="C99" s="62"/>
      <c r="D99" s="62"/>
      <c r="E99" s="62"/>
      <c r="F99" s="61"/>
      <c r="G99" s="61"/>
      <c r="H99" s="61" t="str">
        <f>"From Yr "&amp;F98&amp;": earnings and of BV grow at"</f>
        <v>From Yr 4: earnings and of BV grow at</v>
      </c>
      <c r="I99" s="63">
        <v>0.04</v>
      </c>
    </row>
    <row r="100" spans="1:9" ht="15.6" x14ac:dyDescent="0.35">
      <c r="A100" s="64" t="s">
        <v>626</v>
      </c>
      <c r="B100" s="37"/>
      <c r="C100" s="65">
        <f>B103</f>
        <v>8626.4285714285725</v>
      </c>
      <c r="D100" s="65">
        <f t="shared" ref="D100:E100" si="26">C103</f>
        <v>9418.119291428573</v>
      </c>
      <c r="E100" s="65">
        <f t="shared" si="26"/>
        <v>10204.769727780846</v>
      </c>
      <c r="F100" s="23">
        <f>E103</f>
        <v>11024.357508987679</v>
      </c>
      <c r="G100" s="23">
        <f>F103</f>
        <v>11465.331809347186</v>
      </c>
      <c r="H100" s="23">
        <f>G100*(1+$I$99)</f>
        <v>11923.945081721075</v>
      </c>
      <c r="I100" s="23">
        <f>H100*(1+$I$99)</f>
        <v>12400.902884989919</v>
      </c>
    </row>
    <row r="101" spans="1:9" x14ac:dyDescent="0.3">
      <c r="A101" s="66" t="s">
        <v>462</v>
      </c>
      <c r="B101" s="37"/>
      <c r="C101" s="65">
        <f>'[2]Pro forma'!E47+'[2]Pro forma'!E50+'[2]Pro forma'!E51</f>
        <v>791.6907200000004</v>
      </c>
      <c r="D101" s="65">
        <f>'[2]Pro forma'!F47+'[2]Pro forma'!F50+'[2]Pro forma'!F51</f>
        <v>843.65043635227244</v>
      </c>
      <c r="E101" s="65">
        <f>'[2]Pro forma'!G47+'[2]Pro forma'!G50+'[2]Pro forma'!G51</f>
        <v>955.58778120683428</v>
      </c>
      <c r="F101" s="23">
        <f>E101*(1+$I$99)</f>
        <v>993.81129245510772</v>
      </c>
      <c r="G101" s="23">
        <f>F101*(1+$I$99)</f>
        <v>1033.563744153312</v>
      </c>
      <c r="H101" s="23">
        <f>G101*(1+$I$99)</f>
        <v>1074.9062939194446</v>
      </c>
      <c r="I101" s="23">
        <f>H101*(1+$I$99)</f>
        <v>1117.9025456762224</v>
      </c>
    </row>
    <row r="102" spans="1:9" ht="15" x14ac:dyDescent="0.3">
      <c r="A102" s="66" t="s">
        <v>463</v>
      </c>
      <c r="B102" s="37"/>
      <c r="C102" s="67">
        <f>-'[2]Pro forma'!E49</f>
        <v>0</v>
      </c>
      <c r="D102" s="67">
        <f>-'[2]Pro forma'!F49</f>
        <v>57</v>
      </c>
      <c r="E102" s="67">
        <f>-'[2]Pro forma'!G49</f>
        <v>136</v>
      </c>
      <c r="F102" s="39">
        <f>E103+F101-F103</f>
        <v>552.83699209560109</v>
      </c>
      <c r="G102" s="39">
        <f t="shared" ref="G102:I102" si="27">F103+G101-G103</f>
        <v>574.95047177942433</v>
      </c>
      <c r="H102" s="39">
        <f t="shared" si="27"/>
        <v>597.94849065060043</v>
      </c>
      <c r="I102" s="39">
        <f t="shared" si="27"/>
        <v>621.86643027662649</v>
      </c>
    </row>
    <row r="103" spans="1:9" ht="15.6" x14ac:dyDescent="0.35">
      <c r="A103" s="68" t="s">
        <v>627</v>
      </c>
      <c r="B103" s="69">
        <f>'[2]Pro forma'!D52</f>
        <v>8626.4285714285725</v>
      </c>
      <c r="C103" s="70">
        <f>SUM(C100,C101,-C102)</f>
        <v>9418.119291428573</v>
      </c>
      <c r="D103" s="70">
        <f t="shared" ref="D103:E103" si="28">SUM(D100,D101,-D102)</f>
        <v>10204.769727780846</v>
      </c>
      <c r="E103" s="70">
        <f t="shared" si="28"/>
        <v>11024.357508987679</v>
      </c>
      <c r="F103" s="71">
        <f>E103*(1+$I$99)</f>
        <v>11465.331809347186</v>
      </c>
      <c r="G103" s="71">
        <f>F103*(1+$I$99)</f>
        <v>11923.945081721075</v>
      </c>
      <c r="H103" s="71">
        <f>G103*(1+$I$99)</f>
        <v>12400.902884989919</v>
      </c>
      <c r="I103" s="71">
        <f>H103*(1+$I$99)</f>
        <v>12896.939000389515</v>
      </c>
    </row>
    <row r="104" spans="1:9" x14ac:dyDescent="0.3">
      <c r="A104" s="6" t="s">
        <v>464</v>
      </c>
      <c r="B104" s="11"/>
      <c r="C104" s="72"/>
      <c r="D104" s="72"/>
      <c r="E104" s="72"/>
      <c r="F104" s="31"/>
      <c r="G104" s="11"/>
      <c r="H104" s="61" t="str">
        <f>"From Yr "&amp;F98&amp;": OI and of NOA grow at"</f>
        <v>From Yr 4: OI and of NOA grow at</v>
      </c>
      <c r="I104" s="73">
        <v>2.5000000000000001E-2</v>
      </c>
    </row>
    <row r="105" spans="1:9" ht="15.6" x14ac:dyDescent="0.35">
      <c r="A105" s="64" t="s">
        <v>628</v>
      </c>
      <c r="B105" s="11"/>
      <c r="C105" s="65">
        <f>B108</f>
        <v>14607</v>
      </c>
      <c r="D105" s="65">
        <f t="shared" ref="D105:I105" si="29">C108</f>
        <v>15008.211018181817</v>
      </c>
      <c r="E105" s="65">
        <f t="shared" si="29"/>
        <v>14956.471626356384</v>
      </c>
      <c r="F105" s="23">
        <f t="shared" si="29"/>
        <v>14946.77947462159</v>
      </c>
      <c r="G105" s="23">
        <f t="shared" si="29"/>
        <v>15320.448961487127</v>
      </c>
      <c r="H105" s="23">
        <f t="shared" si="29"/>
        <v>15703.460185524304</v>
      </c>
      <c r="I105" s="23">
        <f t="shared" si="29"/>
        <v>16096.04669016241</v>
      </c>
    </row>
    <row r="106" spans="1:9" x14ac:dyDescent="0.3">
      <c r="A106" s="66" t="s">
        <v>465</v>
      </c>
      <c r="B106" s="11"/>
      <c r="C106" s="65">
        <f>'[2]Pro forma'!E57+'[2]Pro forma'!E61</f>
        <v>1196.4457200000004</v>
      </c>
      <c r="D106" s="65">
        <f>'[2]Pro forma'!F57+'[2]Pro forma'!F61</f>
        <v>1234.9568572249998</v>
      </c>
      <c r="E106" s="65">
        <f>'[2]Pro forma'!G57+'[2]Pro forma'!G61</f>
        <v>1311.9654235999999</v>
      </c>
      <c r="F106" s="23">
        <f>E106*(1+$I$104)</f>
        <v>1344.7645591899998</v>
      </c>
      <c r="G106" s="23">
        <f>F106*(1+$I$104)</f>
        <v>1378.3836731697497</v>
      </c>
      <c r="H106" s="23">
        <f>G106*(1+$I$104)</f>
        <v>1412.8432649989934</v>
      </c>
      <c r="I106" s="23">
        <f>H106*(1+$I$104)</f>
        <v>1448.1643466239682</v>
      </c>
    </row>
    <row r="107" spans="1:9" ht="15" x14ac:dyDescent="0.3">
      <c r="A107" s="66" t="s">
        <v>466</v>
      </c>
      <c r="B107" s="11"/>
      <c r="C107" s="67">
        <f>'[2]Pro forma'!E68</f>
        <v>795.2347018181822</v>
      </c>
      <c r="D107" s="67">
        <f>'[2]Pro forma'!F68</f>
        <v>1286.6962490504316</v>
      </c>
      <c r="E107" s="67">
        <f>'[2]Pro forma'!G68</f>
        <v>1321.6575753347956</v>
      </c>
      <c r="F107" s="39">
        <f>F106-(F108-F105)</f>
        <v>971.09507232446208</v>
      </c>
      <c r="G107" s="39">
        <f t="shared" ref="G107:I107" si="30">G106-(G108-G105)</f>
        <v>995.37244913257337</v>
      </c>
      <c r="H107" s="39">
        <f t="shared" si="30"/>
        <v>1020.2567603608875</v>
      </c>
      <c r="I107" s="39">
        <f t="shared" si="30"/>
        <v>1045.7631793699099</v>
      </c>
    </row>
    <row r="108" spans="1:9" ht="15.6" x14ac:dyDescent="0.35">
      <c r="A108" s="68" t="s">
        <v>629</v>
      </c>
      <c r="B108" s="69">
        <f>'[2]Pro forma'!D38</f>
        <v>14607</v>
      </c>
      <c r="C108" s="70">
        <f>SUM(C105,C106,-C107)</f>
        <v>15008.211018181817</v>
      </c>
      <c r="D108" s="70">
        <f t="shared" ref="D108:E108" si="31">SUM(D105,D106,-D107)</f>
        <v>14956.471626356384</v>
      </c>
      <c r="E108" s="70">
        <f t="shared" si="31"/>
        <v>14946.77947462159</v>
      </c>
      <c r="F108" s="71">
        <f>F105*(1+$I$104)</f>
        <v>15320.448961487127</v>
      </c>
      <c r="G108" s="71">
        <f>G105*(1+$I$104)</f>
        <v>15703.460185524304</v>
      </c>
      <c r="H108" s="71">
        <f>H105*(1+$I$104)</f>
        <v>16096.04669016241</v>
      </c>
      <c r="I108" s="71">
        <f>I105*(1+$I$104)</f>
        <v>16498.447857416468</v>
      </c>
    </row>
    <row r="109" spans="1:9" x14ac:dyDescent="0.3">
      <c r="A109" s="74" t="s">
        <v>560</v>
      </c>
      <c r="B109" s="75">
        <f>[2]Valuation_Multiple!F6</f>
        <v>8126</v>
      </c>
      <c r="C109" s="31"/>
      <c r="D109" s="31"/>
      <c r="E109" s="31"/>
      <c r="F109" s="11"/>
      <c r="G109" s="11"/>
      <c r="H109" s="11"/>
      <c r="I109" s="11"/>
    </row>
    <row r="110" spans="1:9" x14ac:dyDescent="0.3">
      <c r="A110" s="1"/>
      <c r="B110" s="2"/>
      <c r="C110" s="11"/>
      <c r="D110" s="11"/>
      <c r="E110" s="11"/>
      <c r="F110" s="11"/>
      <c r="G110" s="11"/>
      <c r="H110" s="11"/>
      <c r="I110" s="11"/>
    </row>
    <row r="111" spans="1:9" x14ac:dyDescent="0.3">
      <c r="A111" s="3" t="s">
        <v>555</v>
      </c>
      <c r="B111" s="2"/>
      <c r="C111" s="11"/>
      <c r="D111" s="11"/>
      <c r="E111" s="11"/>
      <c r="F111" s="11"/>
      <c r="G111" s="11"/>
      <c r="H111" s="11"/>
      <c r="I111" s="11"/>
    </row>
    <row r="112" spans="1:9" x14ac:dyDescent="0.3">
      <c r="A112" s="4" t="s">
        <v>556</v>
      </c>
      <c r="B112" s="76" t="str">
        <f>HYPERLINK("#"&amp;ADDRESS(ROW(E14),COLUMN(E14)),"see Examples 1-3 above")</f>
        <v>see Examples 1-3 above</v>
      </c>
      <c r="C112" s="11"/>
      <c r="D112" s="11"/>
      <c r="E112" s="11"/>
      <c r="F112" s="11"/>
      <c r="G112" s="11"/>
      <c r="H112" s="11"/>
      <c r="I112" s="11"/>
    </row>
    <row r="113" spans="1:9" x14ac:dyDescent="0.3">
      <c r="A113" s="1"/>
      <c r="B113" s="2"/>
      <c r="C113" s="11"/>
      <c r="D113" s="11"/>
      <c r="E113" s="11"/>
      <c r="F113" s="11"/>
      <c r="G113" s="11"/>
      <c r="H113" s="11"/>
      <c r="I113" s="11"/>
    </row>
    <row r="114" spans="1:9" x14ac:dyDescent="0.3">
      <c r="A114" s="46" t="s">
        <v>557</v>
      </c>
      <c r="B114" s="11"/>
      <c r="C114" s="11"/>
      <c r="D114" s="11"/>
      <c r="E114" s="11"/>
      <c r="F114" s="11"/>
      <c r="G114" s="11"/>
      <c r="H114" s="11"/>
      <c r="I114" s="11"/>
    </row>
    <row r="115" spans="1:9" x14ac:dyDescent="0.3">
      <c r="A115" s="11" t="s">
        <v>554</v>
      </c>
      <c r="B115" s="11">
        <v>17.98</v>
      </c>
      <c r="C115" s="11"/>
      <c r="D115" s="11"/>
      <c r="E115" s="11"/>
      <c r="F115" s="11"/>
      <c r="G115" s="11"/>
      <c r="H115" s="11"/>
      <c r="I115" s="11"/>
    </row>
    <row r="116" spans="1:9" x14ac:dyDescent="0.3">
      <c r="A116" s="6" t="str">
        <f>A14</f>
        <v>TV: Equity value at the end of Year 3</v>
      </c>
      <c r="B116" s="77">
        <f>$B$115*F101</f>
        <v>17868.727038342837</v>
      </c>
      <c r="C116" s="11"/>
      <c r="D116" s="11"/>
      <c r="E116" s="11"/>
      <c r="F116" s="11"/>
      <c r="G116" s="11"/>
      <c r="H116" s="11"/>
      <c r="I116" s="11"/>
    </row>
    <row r="117" spans="1:9" x14ac:dyDescent="0.3">
      <c r="A117" s="31" t="str">
        <f>A89 &amp; "(DDM)"</f>
        <v>Equity value, per share(DDM)</v>
      </c>
      <c r="B117" s="78">
        <f>NPV($B$8,C102,D102,E102+B116)/$B$109</f>
        <v>1.8301261079576832</v>
      </c>
      <c r="C117" s="11"/>
      <c r="D117" s="11"/>
      <c r="E117" s="11"/>
      <c r="F117" s="11"/>
      <c r="G117" s="11"/>
      <c r="H117" s="11"/>
      <c r="I117" s="11"/>
    </row>
    <row r="118" spans="1:9" x14ac:dyDescent="0.3">
      <c r="A118" s="11"/>
      <c r="B118" s="11"/>
      <c r="C118" s="11"/>
      <c r="D118" s="11"/>
      <c r="E118" s="11"/>
      <c r="F118" s="11"/>
      <c r="G118" s="11"/>
      <c r="H118" s="11"/>
      <c r="I118" s="11"/>
    </row>
    <row r="119" spans="1:9" x14ac:dyDescent="0.3">
      <c r="A119" s="79" t="s">
        <v>559</v>
      </c>
      <c r="B119" s="11"/>
      <c r="C119" s="11"/>
      <c r="D119" s="11"/>
      <c r="E119" s="11"/>
      <c r="F119" s="11"/>
      <c r="G119" s="11"/>
      <c r="H119" s="11"/>
      <c r="I119" s="11"/>
    </row>
    <row r="120" spans="1:9" x14ac:dyDescent="0.3">
      <c r="A120" s="64" t="s">
        <v>467</v>
      </c>
      <c r="B120" s="80">
        <v>1.44E-2</v>
      </c>
      <c r="C120" s="11"/>
      <c r="D120" s="11"/>
      <c r="E120" s="11"/>
      <c r="F120" s="11"/>
      <c r="G120" s="11"/>
      <c r="H120" s="11"/>
      <c r="I120" s="11"/>
    </row>
    <row r="121" spans="1:9" x14ac:dyDescent="0.3">
      <c r="A121" s="64" t="s">
        <v>468</v>
      </c>
      <c r="B121" s="81">
        <v>0.94989999999999997</v>
      </c>
      <c r="C121" s="11"/>
      <c r="D121" s="11"/>
      <c r="E121" s="11"/>
      <c r="F121" s="11"/>
      <c r="G121" s="11"/>
      <c r="H121" s="11"/>
      <c r="I121" s="11"/>
    </row>
    <row r="122" spans="1:9" x14ac:dyDescent="0.3">
      <c r="A122" s="64" t="s">
        <v>469</v>
      </c>
      <c r="B122" s="82">
        <v>5.5E-2</v>
      </c>
      <c r="C122" s="11"/>
      <c r="D122" s="11"/>
      <c r="E122" s="11"/>
      <c r="F122" s="11"/>
      <c r="G122" s="11"/>
      <c r="H122" s="11"/>
      <c r="I122" s="11"/>
    </row>
    <row r="123" spans="1:9" x14ac:dyDescent="0.3">
      <c r="A123" s="83" t="s">
        <v>470</v>
      </c>
      <c r="B123" s="84">
        <f>ROUND(B120+B121*B122,3)</f>
        <v>6.7000000000000004E-2</v>
      </c>
      <c r="C123" s="11"/>
      <c r="D123" s="11"/>
      <c r="E123" s="11"/>
      <c r="F123" s="11"/>
      <c r="G123" s="11"/>
      <c r="H123" s="11"/>
      <c r="I123" s="11"/>
    </row>
    <row r="124" spans="1:9" x14ac:dyDescent="0.3">
      <c r="A124" s="11"/>
      <c r="B124" s="11"/>
      <c r="C124" s="11"/>
      <c r="D124" s="11"/>
      <c r="E124" s="11"/>
      <c r="F124" s="11"/>
      <c r="G124" s="11"/>
      <c r="H124" s="11"/>
      <c r="I124" s="11"/>
    </row>
    <row r="125" spans="1:9" x14ac:dyDescent="0.3">
      <c r="A125" s="19"/>
      <c r="B125" s="85" t="s">
        <v>558</v>
      </c>
      <c r="C125" s="85" t="s">
        <v>472</v>
      </c>
      <c r="D125" s="85" t="s">
        <v>471</v>
      </c>
      <c r="E125" s="11"/>
      <c r="F125" s="11"/>
      <c r="G125" s="11"/>
      <c r="H125" s="11"/>
      <c r="I125" s="11"/>
    </row>
    <row r="126" spans="1:9" x14ac:dyDescent="0.3">
      <c r="A126" s="64" t="s">
        <v>195</v>
      </c>
      <c r="B126" s="86">
        <f>[2]Valuation_Multiple!L6</f>
        <v>8626</v>
      </c>
      <c r="C126" s="87">
        <f>B126/$B$128</f>
        <v>0.5905561097744656</v>
      </c>
      <c r="D126" s="88">
        <f>B123</f>
        <v>6.7000000000000004E-2</v>
      </c>
      <c r="E126" s="11"/>
      <c r="F126" s="87"/>
      <c r="G126" s="11"/>
      <c r="H126" s="11"/>
      <c r="I126" s="11"/>
    </row>
    <row r="127" spans="1:9" ht="15.6" x14ac:dyDescent="0.4">
      <c r="A127" s="64" t="s">
        <v>473</v>
      </c>
      <c r="B127" s="89">
        <f>-B61</f>
        <v>5980.5714285714275</v>
      </c>
      <c r="C127" s="90">
        <f t="shared" ref="C127:C128" si="32">B127/$B$128</f>
        <v>0.40944389022553446</v>
      </c>
      <c r="D127" s="91">
        <v>6.0060000000000002E-2</v>
      </c>
      <c r="E127" s="11"/>
      <c r="F127" s="92"/>
      <c r="G127" s="11"/>
      <c r="H127" s="11"/>
      <c r="I127" s="11"/>
    </row>
    <row r="128" spans="1:9" x14ac:dyDescent="0.3">
      <c r="A128" s="83" t="s">
        <v>474</v>
      </c>
      <c r="B128" s="86">
        <f>SUM(B126:B127)</f>
        <v>14606.571428571428</v>
      </c>
      <c r="C128" s="87">
        <f t="shared" si="32"/>
        <v>1</v>
      </c>
      <c r="D128" s="84">
        <f>ROUND(SUMPRODUCT(C126:C127,D126:D127),3)</f>
        <v>6.4000000000000001E-2</v>
      </c>
      <c r="E128" s="11"/>
      <c r="F128" s="11"/>
      <c r="G128" s="11"/>
      <c r="H128" s="11"/>
      <c r="I128" s="11"/>
    </row>
    <row r="129" spans="1:9" x14ac:dyDescent="0.3">
      <c r="A129" s="11"/>
      <c r="B129" s="11"/>
      <c r="C129" s="11"/>
      <c r="D129" s="11"/>
      <c r="E129" s="11"/>
      <c r="F129" s="11"/>
      <c r="G129" s="11"/>
      <c r="H129" s="11"/>
      <c r="I129" s="11"/>
    </row>
    <row r="130" spans="1:9" x14ac:dyDescent="0.3">
      <c r="A130" s="11"/>
      <c r="B130" s="11"/>
      <c r="C130" s="11"/>
      <c r="D130" s="11"/>
      <c r="E130" s="11"/>
      <c r="F130" s="11"/>
      <c r="G130" s="11"/>
      <c r="H130" s="11"/>
      <c r="I130" s="11"/>
    </row>
    <row r="131" spans="1:9" x14ac:dyDescent="0.3">
      <c r="A131" s="11"/>
      <c r="B131" s="11"/>
      <c r="C131" s="11"/>
      <c r="D131" s="11"/>
      <c r="E131" s="11"/>
      <c r="F131" s="11"/>
      <c r="G131" s="11"/>
      <c r="H131" s="11"/>
      <c r="I131" s="11"/>
    </row>
    <row r="132" spans="1:9" x14ac:dyDescent="0.3">
      <c r="A132" s="6" t="s">
        <v>475</v>
      </c>
      <c r="B132" s="11"/>
      <c r="C132" s="11"/>
      <c r="D132" s="11"/>
      <c r="E132" s="11"/>
      <c r="F132" s="11"/>
      <c r="G132" s="11"/>
      <c r="H132" s="11"/>
      <c r="I132" s="11"/>
    </row>
    <row r="133" spans="1:9" x14ac:dyDescent="0.3">
      <c r="A133" s="6"/>
      <c r="B133" s="11"/>
      <c r="C133" s="11"/>
      <c r="D133" s="11"/>
      <c r="E133" s="11"/>
      <c r="F133" s="11"/>
      <c r="G133" s="11"/>
      <c r="H133" s="11"/>
      <c r="I133" s="11"/>
    </row>
    <row r="134" spans="1:9" x14ac:dyDescent="0.3">
      <c r="A134" s="11" t="str">
        <f>"Tesco's share price on " &amp; TEXT(B6,"dd/mm/yyy")</f>
        <v>Tesco's share price on 30/04/2016</v>
      </c>
      <c r="B134" s="93">
        <f>[2]Valuation_Multiple!E6</f>
        <v>1.98</v>
      </c>
      <c r="C134" s="11"/>
      <c r="D134" s="11"/>
      <c r="E134" s="11"/>
      <c r="F134" s="11"/>
      <c r="G134" s="11"/>
      <c r="H134" s="11"/>
      <c r="I134" s="11"/>
    </row>
    <row r="135" spans="1:9" x14ac:dyDescent="0.3">
      <c r="A135" s="11" t="s">
        <v>476</v>
      </c>
      <c r="B135" s="11"/>
      <c r="C135" s="11"/>
      <c r="D135" s="11"/>
      <c r="E135" s="11"/>
      <c r="F135" s="11"/>
      <c r="G135" s="11"/>
      <c r="H135" s="11"/>
      <c r="I135" s="11"/>
    </row>
    <row r="136" spans="1:9" x14ac:dyDescent="0.3">
      <c r="A136" s="94" t="s">
        <v>477</v>
      </c>
      <c r="B136" s="11"/>
      <c r="C136" s="11"/>
      <c r="D136" s="11"/>
      <c r="E136" s="11"/>
      <c r="F136" s="11"/>
      <c r="G136" s="11"/>
      <c r="H136" s="11"/>
      <c r="I136" s="11"/>
    </row>
    <row r="137" spans="1:9" x14ac:dyDescent="0.3">
      <c r="A137" s="94" t="s">
        <v>478</v>
      </c>
      <c r="B137" s="11"/>
      <c r="C137" s="11"/>
      <c r="D137" s="11"/>
      <c r="E137" s="11"/>
      <c r="F137" s="11"/>
      <c r="G137" s="11"/>
      <c r="H137" s="11"/>
      <c r="I137" s="11"/>
    </row>
    <row r="138" spans="1:9" x14ac:dyDescent="0.3">
      <c r="A138" s="94" t="s">
        <v>552</v>
      </c>
      <c r="B138" s="11"/>
      <c r="C138" s="11"/>
      <c r="D138" s="11"/>
      <c r="E138" s="19"/>
      <c r="F138" s="20" t="s">
        <v>479</v>
      </c>
      <c r="G138" s="19"/>
      <c r="H138" s="11"/>
      <c r="I138" s="11"/>
    </row>
    <row r="139" spans="1:9" x14ac:dyDescent="0.3">
      <c r="A139" s="11"/>
      <c r="B139" s="85" t="s">
        <v>294</v>
      </c>
      <c r="C139" s="11"/>
      <c r="D139" s="11"/>
      <c r="E139" s="85" t="s">
        <v>384</v>
      </c>
      <c r="F139" s="85" t="s">
        <v>295</v>
      </c>
      <c r="G139" s="85" t="s">
        <v>402</v>
      </c>
      <c r="H139" s="11"/>
      <c r="I139" s="11"/>
    </row>
    <row r="140" spans="1:9" x14ac:dyDescent="0.3">
      <c r="A140" s="61" t="s">
        <v>480</v>
      </c>
      <c r="B140" s="31">
        <f>B134/(B103/B109)</f>
        <v>1.8651380309679553</v>
      </c>
      <c r="C140" s="93"/>
      <c r="D140" s="11"/>
      <c r="E140" s="11">
        <v>4.5629999999999997</v>
      </c>
      <c r="F140" s="11">
        <v>1.7729999999999999</v>
      </c>
      <c r="G140" s="31">
        <v>1.536</v>
      </c>
      <c r="H140" s="11"/>
      <c r="I140" s="11"/>
    </row>
    <row r="141" spans="1:9" x14ac:dyDescent="0.3">
      <c r="A141" s="61" t="s">
        <v>481</v>
      </c>
      <c r="B141" s="87">
        <f>G101/G100</f>
        <v>9.0146867211526524E-2</v>
      </c>
      <c r="C141" s="11"/>
      <c r="D141" s="11"/>
      <c r="E141" s="87">
        <v>0.154</v>
      </c>
      <c r="F141" s="87">
        <v>0.114</v>
      </c>
      <c r="G141" s="87">
        <v>6.6900000000000001E-2</v>
      </c>
      <c r="H141" s="11"/>
      <c r="I141" s="11"/>
    </row>
    <row r="142" spans="1:9" x14ac:dyDescent="0.3">
      <c r="A142" s="61" t="s">
        <v>470</v>
      </c>
      <c r="B142" s="95">
        <f>B123</f>
        <v>6.7000000000000004E-2</v>
      </c>
      <c r="C142" s="11"/>
      <c r="D142" s="11"/>
      <c r="E142" s="82">
        <v>5.1590000000000004E-2</v>
      </c>
      <c r="F142" s="82">
        <v>7.6700000000000004E-2</v>
      </c>
      <c r="G142" s="82">
        <v>5.7799999999999997E-2</v>
      </c>
      <c r="H142" s="11"/>
      <c r="I142" s="11"/>
    </row>
    <row r="143" spans="1:9" x14ac:dyDescent="0.3">
      <c r="A143" s="61"/>
      <c r="B143" s="96" t="s">
        <v>630</v>
      </c>
      <c r="C143" s="11"/>
      <c r="D143" s="11"/>
      <c r="E143" s="87">
        <f>E142-(E141-E142)/(E140-1)</f>
        <v>2.2847367387033399E-2</v>
      </c>
      <c r="F143" s="87">
        <f>F142-(F141-F142)/(F140-1)</f>
        <v>2.8446442432082795E-2</v>
      </c>
      <c r="G143" s="90">
        <f>G142-(G141-G142)/(G140-1)</f>
        <v>4.0822388059701481E-2</v>
      </c>
      <c r="H143" s="11"/>
      <c r="I143" s="11"/>
    </row>
    <row r="144" spans="1:9" x14ac:dyDescent="0.3">
      <c r="A144" s="15" t="s">
        <v>482</v>
      </c>
      <c r="B144" s="84">
        <f>B142-(B141-B142)/(B140-1)</f>
        <v>4.0244885344331974E-2</v>
      </c>
      <c r="C144" s="11"/>
      <c r="D144" s="11"/>
      <c r="E144" s="6"/>
      <c r="F144" s="15" t="s">
        <v>483</v>
      </c>
      <c r="G144" s="97">
        <f>HARMEAN(E143:G143)</f>
        <v>2.9008248112364837E-2</v>
      </c>
      <c r="H144" s="11"/>
      <c r="I144" s="11"/>
    </row>
  </sheetData>
  <mergeCells count="2">
    <mergeCell ref="C97:E97"/>
    <mergeCell ref="F97:I9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Statement Analysis</vt:lpstr>
      <vt:lpstr>Multiple Method</vt:lpstr>
      <vt:lpstr>Valuations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Hiren Gehlot</dc:creator>
  <cp:lastModifiedBy>Hiren Gehlot</cp:lastModifiedBy>
  <dcterms:created xsi:type="dcterms:W3CDTF">2020-01-26T21:25:20Z</dcterms:created>
  <dcterms:modified xsi:type="dcterms:W3CDTF">2022-10-06T18:21:52Z</dcterms:modified>
</cp:coreProperties>
</file>